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nnections.xml" ContentType="application/vnd.openxmlformats-officedocument.spreadsheetml.connection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hidePivotFieldList="1"/>
  <bookViews>
    <workbookView windowWidth="28800" windowHeight="12510" tabRatio="719" firstSheet="2" activeTab="4"/>
  </bookViews>
  <sheets>
    <sheet name="Orientações" sheetId="16" r:id="rId1"/>
    <sheet name="Servente" sheetId="4" r:id="rId2"/>
    <sheet name="Custo do Profissional" sheetId="15" r:id="rId3"/>
    <sheet name="Uniformes e Materiais" sheetId="11" r:id="rId4"/>
    <sheet name="Equipamentos" sheetId="12" r:id="rId5"/>
  </sheets>
  <definedNames>
    <definedName name="_1A" localSheetId="2">'Custo do Profissional'!$D$25</definedName>
    <definedName name="_1A">Servente!$D$11</definedName>
    <definedName name="_1B" localSheetId="2">'Custo do Profissional'!$D$26</definedName>
    <definedName name="_1B">Servente!$D$12</definedName>
    <definedName name="_1C" localSheetId="2">'Custo do Profissional'!$D$27</definedName>
    <definedName name="_1C">Servente!$D$13</definedName>
    <definedName name="_1D" localSheetId="2">'Custo do Profissional'!$D$28</definedName>
    <definedName name="_1D">Servente!$D$14</definedName>
    <definedName name="_1E" localSheetId="2">'Custo do Profissional'!$D$29</definedName>
    <definedName name="_1E">Servente!$D$15</definedName>
    <definedName name="_1F" localSheetId="2">'Custo do Profissional'!$D$30</definedName>
    <definedName name="_1F">Servente!$D$16</definedName>
    <definedName name="_2.1A" localSheetId="2">'Custo do Profissional'!$D$37</definedName>
    <definedName name="_2.1A">Servente!$D$22</definedName>
    <definedName name="_2.1B" localSheetId="2">'Custo do Profissional'!$D$38</definedName>
    <definedName name="_2.1B">Servente!$D$23</definedName>
    <definedName name="_2.3A" localSheetId="2">'Custo do Profissional'!$D$59</definedName>
    <definedName name="_2.3A">Servente!$D$49</definedName>
    <definedName name="_2.3B" localSheetId="2">'Custo do Profissional'!$D$60</definedName>
    <definedName name="_2.3B">Servente!$D$50</definedName>
    <definedName name="_2.3C" localSheetId="2">'Custo do Profissional'!$D$61</definedName>
    <definedName name="_2.3C">Servente!$D$51</definedName>
    <definedName name="_2.3D" localSheetId="2">'Custo do Profissional'!$D$62</definedName>
    <definedName name="_2.3D">Servente!$D$52</definedName>
    <definedName name="_xlcn.WorksheetConnection_PlanilhaLimpeza.xlsxTable3" hidden="1">#REF!</definedName>
    <definedName name="Salário_Normativo_da_Categoria_Profissional" localSheetId="2">'Custo do Profissional'!$D$19</definedName>
    <definedName name="Salário_Normativo_da_Categoria_Profissional">Servente!$D$5</definedName>
    <definedName name="SalarioBase" localSheetId="2">'Custo do Profissional'!$D$19</definedName>
    <definedName name="SalarioBase">Servente!$D$5</definedName>
    <definedName name="Total1" localSheetId="2">'Custo do Profissional'!#REF!</definedName>
    <definedName name="Total1">Servente!#REF!</definedName>
    <definedName name="Total2.1" localSheetId="2">'Custo do Profissional'!#REF!</definedName>
    <definedName name="Total2.1">Servente!#REF!</definedName>
    <definedName name="Total2.2" localSheetId="2">'Custo do Profissional'!#REF!</definedName>
    <definedName name="Total2.2">Servente!#REF!</definedName>
    <definedName name="Total2.3" localSheetId="2">'Custo do Profissional'!#REF!</definedName>
    <definedName name="Total2.3">Servente!#REF!</definedName>
  </definedNames>
  <calcPr calcId="144525"/>
</workbook>
</file>

<file path=xl/comments1.xml><?xml version="1.0" encoding="utf-8"?>
<comments xmlns="http://schemas.openxmlformats.org/spreadsheetml/2006/main">
  <authors>
    <author>Daniel Carlos</author>
  </authors>
  <commentList>
    <comment ref="G16" authorId="0">
      <text>
        <r>
          <rPr>
            <b/>
            <sz val="9"/>
            <rFont val="Tahoma"/>
            <charset val="134"/>
          </rPr>
          <t>Daniel Carlos:</t>
        </r>
        <r>
          <rPr>
            <sz val="9"/>
            <rFont val="Tahoma"/>
            <charset val="134"/>
          </rPr>
          <t xml:space="preserve">
Valores que constam no caderno técnico. A unidade deve realizar pesquisa de mercado para o levantamento do percentual médio destas rubricas.</t>
        </r>
      </text>
    </comment>
  </commentList>
</comments>
</file>

<file path=xl/connections.xml><?xml version="1.0" encoding="utf-8"?>
<connections xmlns="http://schemas.openxmlformats.org/spreadsheetml/2006/main">
  <connection id="1" name="WorksheetConnection_Planilha Limpeza.xlsx!Table3" type="5" refreshedVersion="2" saveData="1">
    <dbPr connection="" command="" commandType="2"/>
  </connection>
</connections>
</file>

<file path=xl/sharedStrings.xml><?xml version="1.0" encoding="utf-8"?>
<sst xmlns="http://schemas.openxmlformats.org/spreadsheetml/2006/main" count="633" uniqueCount="263">
  <si>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</si>
  <si>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</si>
  <si>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</si>
  <si>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theme="1"/>
        <rFont val="Calibri"/>
        <charset val="134"/>
        <scheme val="minor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theme="5" tint="0.399945066682943"/>
        <rFont val="Calibri"/>
        <charset val="134"/>
        <scheme val="minor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</si>
  <si>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</si>
  <si>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</si>
  <si>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</si>
  <si>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</si>
  <si>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</si>
  <si>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</si>
  <si>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</si>
  <si>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</si>
  <si>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</si>
  <si>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</si>
  <si>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</si>
  <si>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</si>
  <si>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</si>
  <si>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</si>
  <si>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</si>
  <si>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</si>
  <si>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</si>
  <si>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</si>
  <si>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</si>
  <si>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</si>
  <si>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</si>
  <si>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</si>
  <si>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</si>
  <si>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</si>
  <si>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</si>
  <si>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</si>
  <si>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</si>
  <si>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</si>
  <si>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</si>
  <si>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</si>
  <si>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</si>
  <si>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</si>
  <si>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</si>
  <si>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</si>
  <si>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</si>
  <si>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</si>
  <si>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</si>
  <si>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</si>
  <si>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</si>
  <si>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</si>
  <si>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</si>
  <si>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</si>
  <si>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</si>
  <si>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</si>
  <si>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</si>
  <si>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</si>
  <si>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</si>
  <si>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</si>
  <si>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</si>
  <si>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</si>
  <si>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</si>
  <si>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</si>
  <si>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</si>
  <si>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</si>
  <si>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</si>
  <si>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</si>
  <si>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</si>
  <si>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</si>
  <si>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</si>
  <si>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</si>
  <si>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</si>
  <si>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</si>
  <si>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</si>
  <si>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</si>
  <si>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</si>
  <si>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</si>
  <si>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</si>
  <si>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</si>
  <si>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</si>
  <si>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</si>
  <si>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</si>
  <si>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</si>
  <si>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</si>
  <si>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</si>
  <si>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</si>
  <si>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</si>
  <si>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</si>
  <si>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</si>
  <si>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</si>
  <si>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</si>
  <si>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</si>
  <si>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</si>
  <si>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</si>
  <si>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</si>
  <si>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</si>
  <si>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</si>
  <si>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</si>
  <si>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</si>
  <si>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</si>
  <si>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</si>
  <si>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</si>
  <si>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</si>
  <si>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</si>
  <si>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</si>
  <si>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</si>
  <si>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</si>
  <si>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</si>
  <si>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</si>
  <si>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</si>
  <si>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</si>
  <si>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</si>
  <si>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</si>
  <si>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</si>
  <si>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</si>
  <si>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</si>
  <si>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</si>
  <si>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</si>
  <si>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</si>
  <si>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</si>
  <si>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</si>
  <si>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</si>
  <si>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</si>
  <si>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</si>
  <si>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</si>
  <si>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</si>
  <si>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</si>
  <si>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</si>
  <si>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</si>
  <si>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</si>
  <si>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</si>
  <si>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</si>
  <si>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</si>
  <si>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</si>
  <si>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</si>
  <si>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</si>
  <si>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</si>
  <si>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</si>
  <si>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</si>
  <si>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</si>
  <si>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</si>
  <si>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</si>
  <si>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</si>
  <si>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</si>
  <si>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</si>
  <si>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</si>
  <si>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</si>
  <si>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</si>
  <si>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</si>
  <si>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</si>
  <si>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</si>
  <si>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</si>
  <si>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</si>
  <si>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</si>
  <si>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</si>
  <si>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</si>
  <si>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</si>
  <si>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</si>
  <si>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</si>
  <si>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</si>
  <si>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</si>
  <si>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</si>
  <si>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</si>
  <si>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</si>
  <si>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</si>
  <si>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</si>
  <si>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</si>
  <si>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</si>
  <si>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</si>
  <si>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</si>
  <si>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</si>
  <si>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</si>
  <si>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</si>
  <si>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</si>
  <si>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</si>
  <si>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</si>
  <si>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</si>
  <si>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</si>
  <si>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</si>
  <si>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</si>
  <si>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</si>
  <si>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</si>
  <si>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</si>
  <si>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</si>
  <si>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</si>
  <si>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theme="1"/>
        <rFont val="Calibri"/>
        <charset val="134"/>
        <scheme val="minor"/>
      </rPr>
      <t>Processo Administrativo n°</t>
    </r>
    <r>
      <rPr>
        <sz val="11"/>
        <color theme="1"/>
        <rFont val="Calibri"/>
        <charset val="134"/>
        <scheme val="minor"/>
      </rPr>
      <t xml:space="preserve"> 23381.004305.2019-77</t>
    </r>
  </si>
  <si>
    <t>Licitação n°</t>
  </si>
  <si>
    <t>10/2019</t>
  </si>
  <si>
    <t>Discriminação dos Serviços (Dados Referente à Contratação)</t>
  </si>
  <si>
    <t>Data -  Apresentação da Proposta</t>
  </si>
  <si>
    <t>....../......./20.......</t>
  </si>
  <si>
    <t>Município - ISSQN</t>
  </si>
  <si>
    <t>Soledade - PB - ISSQN 5 % (cinco por cento)</t>
  </si>
  <si>
    <t>Ano Acordo, Convenção ou Dissídio Coletivo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</si>
  <si>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</si>
  <si>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</si>
  <si>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</si>
  <si>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</si>
  <si>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</si>
  <si>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</si>
  <si>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Vigilância e Segurança Patrimonial</t>
  </si>
  <si>
    <t>Posto 12 x 36 horas</t>
  </si>
  <si>
    <t>MTE</t>
  </si>
  <si>
    <t>5173-30</t>
  </si>
  <si>
    <t>BASE DE CÁLCULO PARA O SUBMÓDULO 2.2</t>
  </si>
  <si>
    <t>MÓDULO 1</t>
  </si>
  <si>
    <t>MÓDULO 2.1</t>
  </si>
  <si>
    <t>TOTAL</t>
  </si>
  <si>
    <t>SAT (+FAP de 0,5 a 2,0) (Variação: 0,5% a 6 %)</t>
  </si>
  <si>
    <t>Intervalo Intrajornada (não usufruído pelo empregado)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</si>
  <si>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</si>
  <si>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</si>
  <si>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</si>
  <si>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</si>
  <si>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</si>
  <si>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</si>
  <si>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</si>
  <si>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</si>
  <si>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</si>
  <si>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</si>
  <si>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</si>
  <si>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</si>
  <si>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</si>
  <si>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</si>
  <si>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</si>
  <si>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</si>
  <si>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</si>
  <si>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</si>
  <si>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</si>
  <si>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VALOR TOTAL DO POSTO</t>
  </si>
  <si>
    <t>Peça</t>
  </si>
  <si>
    <t>Valor Médio Unitário (R$)</t>
  </si>
  <si>
    <t>Quant. Anual</t>
  </si>
  <si>
    <t>Valor Anual/ Empregado (R$)</t>
  </si>
  <si>
    <t>Valor Mensal/ Empregado</t>
  </si>
  <si>
    <t>CALÇA</t>
  </si>
  <si>
    <t>Calça, TIPO SOCIAL, com presilhas para cinto, em cor escura, em tecido Oxford, com cortes adequados a cada profissional, masculino ou feminino.</t>
  </si>
  <si>
    <t>JAPONA/JAQUETA</t>
  </si>
  <si>
    <t>Japona /Jaqueta,em tecido Oxford, na cor preta ou usual da empresa,  forrada e impermeável; deve possuir a logomarca da empresa em tamanho e local visíveis (no peito, à esquerda).</t>
  </si>
  <si>
    <t>CAMISA</t>
  </si>
  <si>
    <t>Camisa, TIPO SOCIAL, em tecido Oxford, em cor clara, mangas curtas, com cortes adequados a cada proﬁssional, masculino ou feminino, deve possuir, ainda, a logomarca da empresa em tamanho e local visíveis (no peito, à Esquerda)</t>
  </si>
  <si>
    <t>COTURNO</t>
  </si>
  <si>
    <t>Coturno de couro integral com tratamento hidrofugado resistente a penetração de água.Manta de isolamento térmico e áreas de articulação e conforto em cordura e courovestuário. Proteção de borracha em toda extremidade.</t>
  </si>
  <si>
    <t>CINTO</t>
  </si>
  <si>
    <t>Cinto, em couro, ou em tecido 100% lã, constituído de uma face na cor preta, sem costura, fivela em metal, com garra regulável.</t>
  </si>
  <si>
    <t>MEIA</t>
  </si>
  <si>
    <t>Meia, TIPO SOCIAL em poliamida, na cor preta.</t>
  </si>
  <si>
    <t>CAPA PARA CHUVA</t>
  </si>
  <si>
    <t>Capa para chuva, em material plástico, cor preta com faixas fluorescentes.</t>
  </si>
  <si>
    <t>CRACHÁ</t>
  </si>
  <si>
    <t>Crachá de identiﬁcação, em plástico rígido, contendo logomarca da empresa, foto e nome completo do funcionário.</t>
  </si>
  <si>
    <t>Livro de Ocorrência</t>
  </si>
  <si>
    <t>Caneta Esferográfica</t>
  </si>
  <si>
    <t>Prancheta</t>
  </si>
  <si>
    <t>Unidade</t>
  </si>
  <si>
    <t>Valor Médio Unitário</t>
  </si>
  <si>
    <t>Quantidade</t>
  </si>
  <si>
    <t>Valor Total (R$)</t>
  </si>
  <si>
    <t>Revólver calibre 38</t>
  </si>
  <si>
    <t>UND</t>
  </si>
  <si>
    <t>Coldre de couro axilar</t>
  </si>
  <si>
    <t>Baleiro</t>
  </si>
  <si>
    <t>Lanterna recarregável</t>
  </si>
  <si>
    <t>Colete balístico - nível mínimo de segurança II-A</t>
  </si>
  <si>
    <t>Capa para colete balístico</t>
  </si>
  <si>
    <t>Munição calibre 38 (ou outro legalmente permitido para a função a ser desempenhada) - Blister com 10 (dez) unidades</t>
  </si>
  <si>
    <t>Manutenção mensal</t>
  </si>
  <si>
    <t>Depreciação mensal</t>
  </si>
  <si>
    <t>Custo Total dos equipamentos (Manutenção + Depreciação)</t>
  </si>
  <si>
    <r>
      <rPr>
        <b/>
        <sz val="11"/>
        <color theme="1"/>
        <rFont val="Calibri"/>
        <charset val="134"/>
        <scheme val="minor"/>
      </rPr>
      <t>Manutenção de Equipamentos</t>
    </r>
    <r>
      <rPr>
        <sz val="11"/>
        <color theme="1"/>
        <rFont val="Calibri"/>
        <charset val="134"/>
        <scheme val="minor"/>
      </rPr>
      <t xml:space="preserve">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Valor total dos equipamentos (ANEXO IV) x 0,5% a.m.;
</t>
    </r>
    <r>
      <rPr>
        <b/>
        <sz val="11"/>
        <color theme="1"/>
        <rFont val="Calibri"/>
        <charset val="134"/>
        <scheme val="minor"/>
      </rPr>
      <t>Depreciação de Equipamentos:</t>
    </r>
    <r>
      <rPr>
        <sz val="11"/>
        <color theme="1"/>
        <rFont val="Calibri"/>
        <charset val="134"/>
        <scheme val="minor"/>
      </rPr>
      <t xml:space="preserve"> Para o cálculo do insumo Depreciação de Equipamentos, adotou-se vida útil de 8 anos e valor residual de 20%, com base no Manual de Custos Rodoviários do DNIT, volume 1, de 2003.
Depreciação Mensal = [Valor total dos equipamentos x (1,00-0,20)]/(12x8);</t>
    </r>
  </si>
</sst>
</file>

<file path=xl/styles.xml><?xml version="1.0" encoding="utf-8"?>
<styleSheet xmlns="http://schemas.openxmlformats.org/spreadsheetml/2006/main">
  <numFmts count="9">
    <numFmt numFmtId="176" formatCode="_-* #,##0_-;\-* #,##0_-;_-* &quot;-&quot;_-;_-@_-"/>
    <numFmt numFmtId="177" formatCode="_-&quot;R$&quot;\ * #,##0.00_-;\-&quot;R$&quot;\ * #,##0.00_-;_-&quot;R$&quot;\ * &quot;-&quot;??_-;_-@_-"/>
    <numFmt numFmtId="178" formatCode="_-&quot;R$&quot;* #,##0_-;\-&quot;R$&quot;* #,##0_-;_-&quot;R$&quot;* &quot;-&quot;_-;_-@_-"/>
    <numFmt numFmtId="179" formatCode="&quot;R$&quot;#,##0.00"/>
    <numFmt numFmtId="180" formatCode="_-* #,##0.00_-;\-* #,##0.00_-;_-* &quot;-&quot;??_-;_-@_-"/>
    <numFmt numFmtId="181" formatCode="&quot;R$&quot;\ #,##0.00"/>
    <numFmt numFmtId="182" formatCode="&quot;R$&quot;#,##0.00_);[Red]\(&quot;R$&quot;#,##0.00\)"/>
    <numFmt numFmtId="183" formatCode="0.00_ "/>
    <numFmt numFmtId="184" formatCode="0.0000_ "/>
  </numFmts>
  <fonts count="3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b/>
      <sz val="14"/>
      <color theme="0"/>
      <name val="Calibri"/>
      <charset val="134"/>
      <scheme val="minor"/>
    </font>
    <font>
      <sz val="11"/>
      <color theme="9" tint="0.6"/>
      <name val="Calibri"/>
      <charset val="134"/>
      <scheme val="minor"/>
    </font>
    <font>
      <sz val="11"/>
      <color theme="9"/>
      <name val="Calibri"/>
      <charset val="134"/>
      <scheme val="minor"/>
    </font>
    <font>
      <sz val="11"/>
      <color theme="5" tint="0.4"/>
      <name val="Calibri"/>
      <charset val="134"/>
      <scheme val="minor"/>
    </font>
    <font>
      <sz val="11"/>
      <color theme="0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theme="5" tint="0.399945066682943"/>
      <name val="Calibri"/>
      <charset val="134"/>
      <scheme val="minor"/>
    </font>
    <font>
      <sz val="9"/>
      <name val="Tahoma"/>
      <charset val="134"/>
    </font>
    <font>
      <b/>
      <sz val="9"/>
      <name val="Tahoma"/>
      <charset val="134"/>
    </font>
  </fonts>
  <fills count="41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599993896298105"/>
        <bgColor theme="9" tint="0.599993896298105"/>
      </patternFill>
    </fill>
    <fill>
      <patternFill patternType="solid">
        <fgColor theme="9" tint="0.399975585192419"/>
        <bgColor theme="9" tint="0.599993896298105"/>
      </patternFill>
    </fill>
    <fill>
      <patternFill patternType="solid">
        <fgColor theme="5" tint="0.399975585192419"/>
        <bgColor theme="9" tint="0.599993896298105"/>
      </patternFill>
    </fill>
    <fill>
      <patternFill patternType="solid">
        <fgColor theme="9" tint="0.799951170384838"/>
        <bgColor theme="9" tint="0.799951170384838"/>
      </patternFill>
    </fill>
    <fill>
      <patternFill patternType="solid">
        <fgColor theme="5" tint="0.399975585192419"/>
        <bgColor theme="9" tint="0.799951170384838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28">
    <border>
      <left/>
      <right/>
      <top/>
      <bottom/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80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21" fillId="0" borderId="23" applyNumberFormat="0" applyFill="0" applyAlignment="0" applyProtection="0">
      <alignment vertical="center"/>
    </xf>
    <xf numFmtId="0" fontId="14" fillId="13" borderId="20" applyNumberFormat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28" borderId="25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21" borderId="24" applyNumberFormat="0" applyAlignment="0" applyProtection="0">
      <alignment vertical="center"/>
    </xf>
    <xf numFmtId="0" fontId="29" fillId="31" borderId="27" applyNumberFormat="0" applyAlignment="0" applyProtection="0">
      <alignment vertical="center"/>
    </xf>
    <xf numFmtId="0" fontId="25" fillId="31" borderId="24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</cellStyleXfs>
  <cellXfs count="12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181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81" fontId="3" fillId="3" borderId="4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81" fontId="3" fillId="3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6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justify" wrapText="1"/>
    </xf>
    <xf numFmtId="181" fontId="0" fillId="2" borderId="0" xfId="0" applyNumberFormat="1" applyFill="1" applyAlignment="1">
      <alignment horizontal="center" vertical="center" wrapText="1"/>
    </xf>
    <xf numFmtId="181" fontId="0" fillId="0" borderId="0" xfId="0" applyNumberFormat="1" applyAlignment="1">
      <alignment horizontal="center" vertical="center" wrapText="1"/>
    </xf>
    <xf numFmtId="181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wrapText="1"/>
    </xf>
    <xf numFmtId="181" fontId="0" fillId="2" borderId="0" xfId="0" applyNumberForma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181" fontId="0" fillId="0" borderId="0" xfId="0" applyNumberFormat="1" applyAlignment="1">
      <alignment horizontal="center" wrapText="1"/>
    </xf>
    <xf numFmtId="0" fontId="4" fillId="4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left" wrapText="1"/>
    </xf>
    <xf numFmtId="0" fontId="0" fillId="5" borderId="10" xfId="0" applyFont="1" applyFill="1" applyBorder="1" applyAlignment="1">
      <alignment horizontal="left"/>
    </xf>
    <xf numFmtId="0" fontId="1" fillId="6" borderId="0" xfId="0" applyFont="1" applyFill="1" applyBorder="1" applyAlignment="1">
      <alignment horizontal="left" wrapText="1"/>
    </xf>
    <xf numFmtId="49" fontId="0" fillId="6" borderId="0" xfId="0" applyNumberFormat="1" applyFont="1" applyFill="1" applyBorder="1" applyAlignment="1">
      <alignment horizontal="left"/>
    </xf>
    <xf numFmtId="0" fontId="0" fillId="6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center"/>
    </xf>
    <xf numFmtId="0" fontId="0" fillId="5" borderId="12" xfId="0" applyFont="1" applyFill="1" applyBorder="1" applyAlignment="1">
      <alignment horizontal="center"/>
    </xf>
    <xf numFmtId="0" fontId="0" fillId="5" borderId="13" xfId="0" applyFont="1" applyFill="1" applyBorder="1"/>
    <xf numFmtId="0" fontId="0" fillId="7" borderId="14" xfId="0" applyFont="1" applyFill="1" applyBorder="1" applyAlignment="1">
      <alignment horizontal="center"/>
    </xf>
    <xf numFmtId="0" fontId="0" fillId="7" borderId="12" xfId="0" applyFont="1" applyFill="1" applyBorder="1" applyAlignment="1">
      <alignment horizontal="center"/>
    </xf>
    <xf numFmtId="0" fontId="0" fillId="8" borderId="15" xfId="0" applyFont="1" applyFill="1" applyBorder="1" applyAlignment="1">
      <alignment horizontal="center"/>
    </xf>
    <xf numFmtId="0" fontId="0" fillId="8" borderId="5" xfId="0" applyFont="1" applyFill="1" applyBorder="1"/>
    <xf numFmtId="0" fontId="0" fillId="9" borderId="4" xfId="0" applyFont="1" applyFill="1" applyBorder="1" applyAlignment="1">
      <alignment horizontal="center"/>
    </xf>
    <xf numFmtId="0" fontId="0" fillId="9" borderId="15" xfId="0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/>
    </xf>
    <xf numFmtId="0" fontId="0" fillId="5" borderId="5" xfId="0" applyFont="1" applyFill="1" applyBorder="1"/>
    <xf numFmtId="0" fontId="0" fillId="7" borderId="4" xfId="0" applyFont="1" applyFill="1" applyBorder="1" applyAlignment="1">
      <alignment horizontal="center"/>
    </xf>
    <xf numFmtId="0" fontId="0" fillId="7" borderId="1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 wrapText="1"/>
    </xf>
    <xf numFmtId="0" fontId="3" fillId="4" borderId="16" xfId="0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0" fillId="10" borderId="5" xfId="0" applyFont="1" applyFill="1" applyBorder="1" applyAlignment="1">
      <alignment horizontal="center"/>
    </xf>
    <xf numFmtId="0" fontId="0" fillId="10" borderId="4" xfId="0" applyFont="1" applyFill="1" applyBorder="1" applyAlignment="1">
      <alignment horizontal="center"/>
    </xf>
    <xf numFmtId="0" fontId="0" fillId="8" borderId="4" xfId="0" applyFont="1" applyFill="1" applyBorder="1" applyAlignment="1">
      <alignment horizontal="center"/>
    </xf>
    <xf numFmtId="181" fontId="0" fillId="10" borderId="4" xfId="0" applyNumberFormat="1" applyFont="1" applyFill="1" applyBorder="1" applyAlignment="1">
      <alignment horizontal="center"/>
    </xf>
    <xf numFmtId="0" fontId="0" fillId="0" borderId="0" xfId="0" applyAlignment="1"/>
    <xf numFmtId="0" fontId="0" fillId="10" borderId="0" xfId="0" applyFill="1" applyAlignment="1">
      <alignment horizontal="center"/>
    </xf>
    <xf numFmtId="181" fontId="0" fillId="10" borderId="0" xfId="0" applyNumberFormat="1" applyFill="1" applyAlignment="1">
      <alignment horizontal="center"/>
    </xf>
    <xf numFmtId="49" fontId="0" fillId="10" borderId="0" xfId="0" applyNumberFormat="1" applyFont="1" applyFill="1" applyAlignment="1">
      <alignment horizontal="center"/>
    </xf>
    <xf numFmtId="10" fontId="0" fillId="0" borderId="0" xfId="0" applyNumberFormat="1"/>
    <xf numFmtId="0" fontId="3" fillId="3" borderId="0" xfId="0" applyFont="1" applyFill="1" applyAlignment="1">
      <alignment horizontal="center"/>
    </xf>
    <xf numFmtId="10" fontId="0" fillId="0" borderId="0" xfId="4" applyNumberFormat="1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182" fontId="0" fillId="9" borderId="17" xfId="0" applyNumberFormat="1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182" fontId="1" fillId="9" borderId="17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0" borderId="0" xfId="4" applyNumberFormat="1" applyFont="1" applyFill="1" applyAlignment="1">
      <alignment horizontal="center"/>
    </xf>
    <xf numFmtId="0" fontId="0" fillId="0" borderId="0" xfId="0" applyAlignment="1">
      <alignment vertical="center"/>
    </xf>
    <xf numFmtId="181" fontId="0" fillId="10" borderId="0" xfId="0" applyNumberFormat="1" applyFill="1" applyAlignment="1">
      <alignment horizontal="center" vertical="center"/>
    </xf>
    <xf numFmtId="10" fontId="0" fillId="0" borderId="0" xfId="4" applyNumberFormat="1" applyFont="1" applyAlignment="1">
      <alignment horizontal="center" vertical="center"/>
    </xf>
    <xf numFmtId="10" fontId="0" fillId="10" borderId="0" xfId="4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wrapText="1"/>
    </xf>
    <xf numFmtId="0" fontId="1" fillId="0" borderId="0" xfId="0" applyFont="1" applyBorder="1" applyAlignment="1">
      <alignment horizontal="center"/>
    </xf>
    <xf numFmtId="183" fontId="0" fillId="10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81" fontId="5" fillId="0" borderId="0" xfId="0" applyNumberFormat="1" applyFont="1" applyAlignment="1">
      <alignment vertical="center"/>
    </xf>
    <xf numFmtId="181" fontId="6" fillId="0" borderId="0" xfId="0" applyNumberFormat="1" applyFont="1" applyAlignment="1">
      <alignment horizontal="center"/>
    </xf>
    <xf numFmtId="181" fontId="7" fillId="10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left" vertical="center"/>
    </xf>
    <xf numFmtId="0" fontId="0" fillId="8" borderId="17" xfId="0" applyFont="1" applyFill="1" applyBorder="1" applyAlignment="1">
      <alignment horizontal="left" vertical="center"/>
    </xf>
    <xf numFmtId="182" fontId="0" fillId="10" borderId="0" xfId="0" applyNumberFormat="1" applyFill="1"/>
    <xf numFmtId="184" fontId="0" fillId="10" borderId="0" xfId="0" applyNumberFormat="1" applyFill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8" fillId="3" borderId="0" xfId="0" applyFont="1" applyFill="1"/>
    <xf numFmtId="181" fontId="3" fillId="3" borderId="0" xfId="0" applyNumberFormat="1" applyFont="1" applyFill="1" applyAlignment="1">
      <alignment horizontal="center"/>
    </xf>
    <xf numFmtId="181" fontId="8" fillId="3" borderId="0" xfId="0" applyNumberFormat="1" applyFont="1" applyFill="1" applyAlignment="1">
      <alignment horizontal="center" vertical="center" wrapText="1"/>
    </xf>
    <xf numFmtId="181" fontId="3" fillId="3" borderId="0" xfId="0" applyNumberFormat="1" applyFont="1" applyFill="1" applyAlignment="1">
      <alignment horizontal="center" vertical="center" wrapText="1"/>
    </xf>
    <xf numFmtId="181" fontId="8" fillId="3" borderId="0" xfId="0" applyNumberFormat="1" applyFont="1" applyFill="1" applyAlignment="1">
      <alignment horizontal="center" vertical="center"/>
    </xf>
    <xf numFmtId="0" fontId="1" fillId="0" borderId="18" xfId="0" applyFont="1" applyBorder="1" applyAlignment="1">
      <alignment horizontal="center"/>
    </xf>
    <xf numFmtId="177" fontId="0" fillId="2" borderId="0" xfId="9" applyFont="1" applyFill="1" applyAlignment="1">
      <alignment horizontal="center"/>
    </xf>
    <xf numFmtId="179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9" fontId="0" fillId="2" borderId="0" xfId="0" applyNumberFormat="1" applyFill="1" applyAlignment="1">
      <alignment horizontal="center"/>
    </xf>
    <xf numFmtId="10" fontId="0" fillId="2" borderId="0" xfId="4" applyNumberFormat="1" applyFont="1" applyFill="1" applyAlignment="1"/>
    <xf numFmtId="10" fontId="0" fillId="0" borderId="0" xfId="4" applyNumberFormat="1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81" fontId="8" fillId="3" borderId="0" xfId="0" applyNumberFormat="1" applyFont="1" applyFill="1" applyAlignment="1">
      <alignment horizontal="center"/>
    </xf>
    <xf numFmtId="0" fontId="1" fillId="11" borderId="19" xfId="0" applyFont="1" applyFill="1" applyBorder="1" applyAlignment="1">
      <alignment horizontal="center"/>
    </xf>
    <xf numFmtId="0" fontId="0" fillId="11" borderId="0" xfId="0" applyFill="1" applyAlignment="1">
      <alignment horizontal="left" vertical="center" wrapText="1"/>
    </xf>
    <xf numFmtId="0" fontId="0" fillId="11" borderId="0" xfId="0" applyFill="1" applyAlignment="1">
      <alignment horizontal="left" wrapText="1"/>
    </xf>
    <xf numFmtId="0" fontId="1" fillId="11" borderId="0" xfId="0" applyFont="1" applyFill="1" applyAlignment="1">
      <alignment horizontal="left" vertical="center" wrapText="1"/>
    </xf>
    <xf numFmtId="0" fontId="9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56"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numFmt numFmtId="181" formatCode="&quot;R$&quot;\ #,##0.00"/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0" formatCode="0.00%"/>
      <alignment horizontal="center"/>
    </dxf>
    <dxf>
      <numFmt numFmtId="181" formatCode="&quot;R$&quot;\ #,##0.00"/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/>
    </dxf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/>
    </dxf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numFmt numFmtId="181" formatCode="&quot;R$&quot;\ #,##0.00"/>
      <alignment horizontal="center"/>
    </dxf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numFmt numFmtId="181" formatCode="&quot;R$&quot;\ #,##0.00"/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0" formatCode="0.00%"/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/>
    </dxf>
    <dxf>
      <numFmt numFmtId="181" formatCode="&quot;R$&quot;\ #,##0.00"/>
      <alignment horizontal="center" vertical="center"/>
    </dxf>
    <dxf>
      <fill>
        <patternFill patternType="solid">
          <bgColor theme="5" tint="0.399945066682943"/>
        </patternFill>
      </fill>
    </dxf>
    <dxf>
      <numFmt numFmtId="181" formatCode="&quot;R$&quot;\ #,##0.00"/>
      <alignment horizontal="center" vertical="center"/>
    </dxf>
    <dxf>
      <numFmt numFmtId="10" formatCode="0.00%"/>
    </dxf>
    <dxf>
      <numFmt numFmtId="181" formatCode="&quot;R$&quot;\ #,##0.00"/>
      <alignment horizontal="center"/>
    </dxf>
    <dxf>
      <numFmt numFmtId="10" formatCode="0.00%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left" vertical="center" wrapText="1"/>
    </dxf>
    <dxf>
      <alignment horizontal="center" vertical="center"/>
    </dxf>
    <dxf>
      <alignment horizontal="left" vertical="center" wrapText="1"/>
    </dxf>
    <dxf>
      <alignment horizontal="left" vertical="center" wrapText="1"/>
    </dxf>
    <dxf>
      <alignment horizontal="left" vertical="center" wrapText="1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fill>
        <patternFill patternType="solid">
          <bgColor theme="5" tint="0.399975585192419"/>
        </patternFill>
      </fill>
      <alignment horizontal="center" vertical="center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fill>
        <patternFill patternType="solid">
          <bgColor theme="5" tint="0.399975585192419"/>
        </patternFill>
      </fill>
      <alignment horizontal="center"/>
    </dxf>
    <dxf>
      <alignment horizontal="center"/>
    </dxf>
    <dxf>
      <alignment horizontal="center" vertical="center"/>
    </dxf>
    <dxf>
      <numFmt numFmtId="181" formatCode="&quot;R$&quot;\ #,##0.00"/>
      <alignment vertical="center" wrapText="1"/>
    </dxf>
    <dxf>
      <font>
        <color theme="9" tint="0.6"/>
      </font>
      <alignment horizontal="center" vertical="center" wrapText="1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/>
    </dxf>
    <dxf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0" formatCode="0.00%"/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 vertical="center"/>
    </dxf>
    <dxf>
      <numFmt numFmtId="181" formatCode="&quot;R$&quot;\ #,##0.00"/>
      <alignment horizontal="center"/>
    </dxf>
    <dxf>
      <alignment horizontal="center" vertical="center" wrapText="1"/>
      <border>
        <left/>
        <right style="medium">
          <color auto="1"/>
        </right>
        <top/>
        <bottom/>
      </border>
    </dxf>
    <dxf>
      <alignment horizontal="center" vertical="center" wrapText="1"/>
    </dxf>
    <dxf>
      <alignment horizontal="justify" vertical="justify" wrapText="1"/>
      <border>
        <left style="medium">
          <color auto="1"/>
        </left>
        <right/>
        <top/>
        <bottom/>
      </border>
    </dxf>
    <dxf>
      <numFmt numFmtId="181" formatCode="&quot;R$&quot;\ #,##0.00"/>
      <fill>
        <patternFill patternType="solid">
          <bgColor theme="5" tint="0.399945066682943"/>
        </patternFill>
      </fill>
      <alignment horizontal="center" vertical="center" wrapText="1"/>
    </dxf>
    <dxf>
      <fill>
        <patternFill patternType="solid">
          <bgColor theme="5" tint="0.399945066682943"/>
        </patternFill>
      </fill>
      <alignment horizontal="center" vertical="center" wrapText="1"/>
    </dxf>
    <dxf>
      <numFmt numFmtId="181" formatCode="&quot;R$&quot;\ #,##0.00"/>
      <alignment horizontal="center" vertical="center" wrapText="1"/>
    </dxf>
    <dxf>
      <numFmt numFmtId="181" formatCode="&quot;R$&quot;\ #,##0.00"/>
      <alignment horizontal="center" vertical="center"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81" formatCode="&quot;R$&quot;\ #,##0.00"/>
      <alignment horizontal="center"/>
    </dxf>
    <dxf>
      <alignment horizontal="center"/>
    </dxf>
    <dxf>
      <alignment horizontal="center"/>
    </dxf>
    <dxf>
      <font>
        <name val="Calibri"/>
        <scheme val="none"/>
        <strike val="0"/>
        <u val="none"/>
        <sz val="12"/>
        <color theme="1"/>
      </font>
      <alignment vertical="top" wrapText="1"/>
    </dxf>
    <dxf>
      <alignment horizontal="center" vertical="center"/>
    </dxf>
    <dxf>
      <numFmt numFmtId="181" formatCode="&quot;R$&quot;\ #,##0.00"/>
      <fill>
        <patternFill patternType="solid">
          <bgColor theme="5" tint="0.399945066682943"/>
        </patternFill>
      </fill>
      <alignment horizontal="center" vertical="center"/>
    </dxf>
    <dxf>
      <fill>
        <patternFill patternType="solid">
          <bgColor theme="5" tint="0.399945066682943"/>
        </patternFill>
      </fill>
      <alignment horizontal="center" vertical="center"/>
    </dxf>
    <dxf>
      <numFmt numFmtId="181" formatCode="&quot;R$&quot;\ #,##0.00"/>
      <alignment horizontal="center" vertical="center"/>
    </dxf>
    <dxf>
      <border>
        <vertical/>
        <horizontal style="thin">
          <color auto="1"/>
        </horizontal>
      </border>
    </dxf>
    <dxf>
      <border>
        <vertical/>
        <horizontal style="thin">
          <color auto="1"/>
        </horizontal>
      </border>
    </dxf>
  </dxfs>
  <tableStyles count="1" defaultTableStyle="TableStyleMedium2" defaultPivotStyle="PivotStyleLight16">
    <tableStyle name="Table Style 1" pivot="0" count="2">
      <tableStyleElement type="firstRowStripe" dxfId="155"/>
      <tableStyleElement type="firstHeaderCell" dxfId="15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3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connections" Target="connections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customXml" Target="../customXml/item17.xml"/><Relationship Id="rId22" Type="http://schemas.openxmlformats.org/officeDocument/2006/relationships/customXml" Target="../customXml/item16.xml"/><Relationship Id="rId21" Type="http://schemas.openxmlformats.org/officeDocument/2006/relationships/customXml" Target="../customXml/item15.xml"/><Relationship Id="rId20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9" Type="http://schemas.openxmlformats.org/officeDocument/2006/relationships/customXml" Target="../customXml/item13.xml"/><Relationship Id="rId18" Type="http://schemas.openxmlformats.org/officeDocument/2006/relationships/customXml" Target="../customXml/item12.xml"/><Relationship Id="rId17" Type="http://schemas.openxmlformats.org/officeDocument/2006/relationships/customXml" Target="../customXml/item11.xml"/><Relationship Id="rId16" Type="http://schemas.openxmlformats.org/officeDocument/2006/relationships/customXml" Target="../customXml/item10.xml"/><Relationship Id="rId15" Type="http://schemas.openxmlformats.org/officeDocument/2006/relationships/customXml" Target="../customXml/item9.xml"/><Relationship Id="rId14" Type="http://schemas.openxmlformats.org/officeDocument/2006/relationships/customXml" Target="../customXml/item8.xml"/><Relationship Id="rId13" Type="http://schemas.openxmlformats.org/officeDocument/2006/relationships/customXml" Target="../customXml/item7.xml"/><Relationship Id="rId12" Type="http://schemas.openxmlformats.org/officeDocument/2006/relationships/customXml" Target="../customXml/item6.xml"/><Relationship Id="rId11" Type="http://schemas.openxmlformats.org/officeDocument/2006/relationships/customXml" Target="../customXml/item5.xml"/><Relationship Id="rId10" Type="http://schemas.openxmlformats.org/officeDocument/2006/relationships/customXml" Target="../customXml/item4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4" name="Table4" displayName="Table4" ref="A2:D7" totalsRowShown="0">
  <tableColumns count="4">
    <tableColumn id="1" name="Item" dataDxfId="0"/>
    <tableColumn id="2" name="Descrição" dataDxfId="1"/>
    <tableColumn id="3" name="Comentário" dataDxfId="2"/>
    <tableColumn id="4" name="Valor" dataDxfId="3"/>
  </tableColumns>
  <tableStyleInfo name="TableStyleMedium14" showFirstColumn="0" showLastColumn="0" showRowStripes="1" showColumnStripes="0"/>
</table>
</file>

<file path=xl/tables/table10.xml><?xml version="1.0" encoding="utf-8"?>
<table xmlns="http://schemas.openxmlformats.org/spreadsheetml/2006/main" id="16" name="ResumoMódulo4" displayName="ResumoMódulo4" ref="A108:D111" totalsRowCount="1">
  <autoFilter ref="A108:D110">
    <filterColumn colId="0" hiddenButton="1"/>
    <filterColumn colId="1" hiddenButton="1"/>
    <filterColumn colId="2" hiddenButton="1"/>
    <filterColumn colId="3" hiddenButton="1"/>
  </autoFilter>
  <tableColumns count="4">
    <tableColumn id="1" name="4" totalsRowLabel="Total" dataDxfId="36"/>
    <tableColumn id="2" name="Custo de Reposição do Profissional Ausente" dataDxfId="37"/>
    <tableColumn id="3" name="Comentário" dataDxfId="38"/>
    <tableColumn id="4" name="Valor" totalsRowFunction="sum" dataDxfId="39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7" name="Módulo5" displayName="Módulo5" ref="A114:D119" totalsRowCount="1">
  <autoFilter ref="A114:D118">
    <filterColumn colId="0" hiddenButton="1"/>
    <filterColumn colId="1" hiddenButton="1"/>
    <filterColumn colId="2" hiddenButton="1"/>
    <filterColumn colId="3" hiddenButton="1"/>
  </autoFilter>
  <tableColumns count="4">
    <tableColumn id="1" name="5" totalsRowLabel="Total" dataDxfId="40"/>
    <tableColumn id="2" name="Insumos Diversos" dataDxfId="41"/>
    <tableColumn id="3" name="Comentário" dataDxfId="42"/>
    <tableColumn id="4" name="Valor" totalsRowFunction="sum" dataDxfId="43"/>
  </tableColumns>
  <tableStyleInfo name="TableStyleMedium14" showFirstColumn="0" showLastColumn="0" showRowStripes="1" showColumnStripes="0"/>
</table>
</file>

<file path=xl/tables/table12.xml><?xml version="1.0" encoding="utf-8"?>
<table xmlns="http://schemas.openxmlformats.org/spreadsheetml/2006/main" id="18" name="Módulo6" displayName="Módulo6" ref="A129:D136" totalsRowCount="1">
  <tableColumns count="4">
    <tableColumn id="1" name="6" totalsRowLabel="Total" dataDxfId="44"/>
    <tableColumn id="2" name="Custos Indiretos, Tributos e Lucro" dataDxfId="45"/>
    <tableColumn id="3" name="Percentual" dataDxfId="46"/>
    <tableColumn id="4" name="Valor" totalsRowFunction="custom">
      <calculatedColumnFormula>SUM(D130:D132)</calculatedColumnFormula>
      <totalsRowFormula>SUM(D130:D132)</totalsRowFormula>
       dataDxfId="47"
    </tableColumn>
  </tableColumns>
  <tableStyleInfo name="TableStyleMedium14" showFirstColumn="0" showLastColumn="0" showRowStripes="1" showColumnStripes="0"/>
</table>
</file>

<file path=xl/tables/table13.xml><?xml version="1.0" encoding="utf-8"?>
<table xmlns="http://schemas.openxmlformats.org/spreadsheetml/2006/main" id="21" name="ResumoPosto" displayName="ResumoPosto" ref="A140:D148">
  <autoFilter ref="A140:D148">
    <filterColumn colId="0" hiddenButton="1"/>
    <filterColumn colId="1" hiddenButton="1"/>
    <filterColumn colId="2" hiddenButton="1"/>
    <filterColumn colId="3" hiddenButton="1"/>
  </autoFilter>
  <tableColumns count="4">
    <tableColumn id="1" name="Item" totalsRowLabel="Total" dataDxfId="48"/>
    <tableColumn id="2" name="Mão de obra vinculada à execução contratual" dataDxfId="49"/>
    <tableColumn id="3" name="-" dataDxfId="50"/>
    <tableColumn id="4" name="Valor" totalsRowFunction="sum" dataDxfId="51"/>
  </tableColumns>
  <tableStyleInfo name="TableStyleMedium14" showFirstColumn="0" showLastColumn="0" showRowStripes="1" showColumnStripes="0"/>
</table>
</file>

<file path=xl/tables/table14.xml><?xml version="1.0" encoding="utf-8"?>
<table xmlns="http://schemas.openxmlformats.org/spreadsheetml/2006/main" id="19" name="DadosGerais" displayName="DadosGerais" ref="F2:G6" totalsRowShown="0">
  <autoFilter ref="F2:G6">
    <filterColumn colId="0" hiddenButton="1"/>
    <filterColumn colId="1" hiddenButton="1"/>
  </autoFilter>
  <tableColumns count="2">
    <tableColumn id="1" name="Descrição" dataDxfId="52"/>
    <tableColumn id="2" name="Valor" dataDxfId="53"/>
  </tableColumns>
  <tableStyleInfo name="TableStyleMedium14" showFirstColumn="0" showLastColumn="0" showRowStripes="1" showColumnStripes="0"/>
</table>
</file>

<file path=xl/tables/table15.xml><?xml version="1.0" encoding="utf-8"?>
<table xmlns="http://schemas.openxmlformats.org/spreadsheetml/2006/main" id="20" name="DadosDesligamento" displayName="DadosDesligamento" ref="F9:G12" totalsRowShown="0">
  <autoFilter ref="F9:G12">
    <filterColumn colId="0" hiddenButton="1"/>
    <filterColumn colId="1" hiddenButton="1"/>
  </autoFilter>
  <tableColumns count="2">
    <tableColumn id="1" name="Tipos" dataDxfId="54"/>
    <tableColumn id="2" name="Percentual" dataDxfId="55"/>
  </tableColumns>
  <tableStyleInfo name="TableStyleMedium14" showFirstColumn="0" showLastColumn="0" showRowStripes="1" showColumnStripes="0"/>
</table>
</file>

<file path=xl/tables/table16.xml><?xml version="1.0" encoding="utf-8"?>
<table xmlns="http://schemas.openxmlformats.org/spreadsheetml/2006/main" id="22" name="CITL" displayName="CITL" ref="F15:G20" totalsRowShown="0">
  <autoFilter ref="F15:G20">
    <filterColumn colId="0" hiddenButton="1"/>
    <filterColumn colId="1" hiddenButton="1"/>
  </autoFilter>
  <tableColumns count="2">
    <tableColumn id="1" name="Descrição" dataDxfId="56"/>
    <tableColumn id="2" name="Percentual" dataDxfId="57"/>
  </tableColumns>
  <tableStyleInfo name="TableStyleMedium14" showFirstColumn="0" showLastColumn="0" showRowStripes="1" showColumnStripes="0"/>
</table>
</file>

<file path=xl/tables/table17.xml><?xml version="1.0" encoding="utf-8"?>
<table xmlns="http://schemas.openxmlformats.org/spreadsheetml/2006/main" id="8" name="Table8" displayName="Table8" ref="A27:D29" totalsRowShown="0">
  <autoFilter ref="A27:D29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name="TableStyleLight18" showFirstColumn="0" showLastColumn="0" showRowStripes="1" showColumnStripes="0"/>
</table>
</file>

<file path=xl/tables/table18.xml><?xml version="1.0" encoding="utf-8"?>
<table xmlns="http://schemas.openxmlformats.org/spreadsheetml/2006/main" id="38" name="Table839" displayName="Table839" ref="A44:D45" totalsRowShown="0">
  <autoFilter ref="A44:D45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name="TableStyleLight18" showFirstColumn="0" showLastColumn="0" showRowStripes="1" showColumnStripes="0"/>
</table>
</file>

<file path=xl/tables/table19.xml><?xml version="1.0" encoding="utf-8"?>
<table xmlns="http://schemas.openxmlformats.org/spreadsheetml/2006/main" id="41" name="Table842" displayName="Table842" ref="A56:D58" totalsRowShown="0">
  <autoFilter ref="A56:D58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6" name="Módulo1" displayName="Módulo1" ref="A10:D17" totalsRowCount="1">
  <autoFilter ref="A10:D16">
    <filterColumn colId="0" hiddenButton="1"/>
    <filterColumn colId="1" hiddenButton="1"/>
    <filterColumn colId="2" hiddenButton="1"/>
    <filterColumn colId="3" hiddenButton="1"/>
  </autoFilter>
  <tableColumns count="4">
    <tableColumn id="1" name="1" totalsRowLabel="Total" dataDxfId="4"/>
    <tableColumn id="2" name="Composição da Remuneração" dataDxfId="5"/>
    <tableColumn id="3" name="Comentário" dataDxfId="6"/>
    <tableColumn id="4" name="Valor" totalsRowFunction="sum" dataDxfId="7"/>
  </tableColumns>
  <tableStyleInfo name="TableStyleMedium14" showFirstColumn="0" showLastColumn="0" showRowStripes="1" showColumnStripes="0"/>
</table>
</file>

<file path=xl/tables/table20.xml><?xml version="1.0" encoding="utf-8"?>
<table xmlns="http://schemas.openxmlformats.org/spreadsheetml/2006/main" id="36" name="Table84237" displayName="Table84237" ref="A78:D84" totalsRowShown="0">
  <autoFilter ref="A78:D84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name="TableStyleLight18" showFirstColumn="0" showLastColumn="0" showRowStripes="1" showColumnStripes="0"/>
</table>
</file>

<file path=xl/tables/table21.xml><?xml version="1.0" encoding="utf-8"?>
<table xmlns="http://schemas.openxmlformats.org/spreadsheetml/2006/main" id="37" name="Table84238" displayName="Table84238" ref="A98:D100" totalsRowShown="0">
  <autoFilter ref="A98:D100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name="TableStyleLight18" showFirstColumn="0" showLastColumn="0" showRowStripes="1" showColumnStripes="0"/>
</table>
</file>

<file path=xl/tables/table22.xml><?xml version="1.0" encoding="utf-8"?>
<table xmlns="http://schemas.openxmlformats.org/spreadsheetml/2006/main" id="50" name="Table8423851" displayName="Table8423851" ref="A122:D126" totalsRowShown="0">
  <autoFilter ref="A122:D126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name="TableStyleLight18" showFirstColumn="0" showLastColumn="0" showRowStripes="1" showColumnStripes="0"/>
</table>
</file>

<file path=xl/tables/table23.xml><?xml version="1.0" encoding="utf-8"?>
<table xmlns="http://schemas.openxmlformats.org/spreadsheetml/2006/main" id="51" name="Table452" displayName="Table452" ref="A16:D21" totalsRowShown="0">
  <tableColumns count="4">
    <tableColumn id="1" name="Item" dataDxfId="82"/>
    <tableColumn id="2" name="Descrição" dataDxfId="83"/>
    <tableColumn id="3" name="Comentário" dataDxfId="84"/>
    <tableColumn id="4" name="Valor" dataDxfId="85"/>
  </tableColumns>
  <tableStyleInfo name="TableStyleMedium14" showFirstColumn="0" showLastColumn="0" showRowStripes="1" showColumnStripes="0"/>
</table>
</file>

<file path=xl/tables/table24.xml><?xml version="1.0" encoding="utf-8"?>
<table xmlns="http://schemas.openxmlformats.org/spreadsheetml/2006/main" id="52" name="Módulo153" displayName="Módulo153" ref="A24:D31" totalsRowCount="1">
  <autoFilter ref="A24:D30">
    <filterColumn colId="0" hiddenButton="1"/>
    <filterColumn colId="1" hiddenButton="1"/>
    <filterColumn colId="2" hiddenButton="1"/>
    <filterColumn colId="3" hiddenButton="1"/>
  </autoFilter>
  <tableColumns count="4">
    <tableColumn id="1" name="1" totalsRowLabel="Total" dataDxfId="86"/>
    <tableColumn id="2" name="Composição da Remuneração" dataDxfId="87"/>
    <tableColumn id="3" name="Comentário" dataDxfId="88"/>
    <tableColumn id="4" name="Valor" totalsRowFunction="custom">
      <totalsRowFormula>TRUNC((SUM(D25:D30)),2)</totalsRowFormula>
       dataDxfId="89"
    </tableColumn>
  </tableColumns>
  <tableStyleInfo name="TableStyleMedium14" showFirstColumn="0" showLastColumn="0" showRowStripes="1" showColumnStripes="0"/>
</table>
</file>

<file path=xl/tables/table25.xml><?xml version="1.0" encoding="utf-8"?>
<table xmlns="http://schemas.openxmlformats.org/spreadsheetml/2006/main" id="53" name="Submódulo2.154" displayName="Submódulo2.154" ref="A36:D39" totalsRowCount="1">
  <autoFilter ref="A36:D38">
    <filterColumn colId="0" hiddenButton="1"/>
    <filterColumn colId="1" hiddenButton="1"/>
    <filterColumn colId="2" hiddenButton="1"/>
    <filterColumn colId="3" hiddenButton="1"/>
  </autoFilter>
  <tableColumns count="4">
    <tableColumn id="1" name="2.1" totalsRowLabel="Total" dataDxfId="90"/>
    <tableColumn id="2" name="13º (décimo terceiro) Salário, Férias e Adicional de Férias" dataDxfId="91"/>
    <tableColumn id="3" name="Percentual" dataDxfId="92"/>
    <tableColumn id="4" name="Valor" totalsRowFunction="custom">
      <calculatedColumnFormula>TRUNC((SUM(D37:D38)),2)</calculatedColumnFormula>
      <totalsRowFormula>TRUNC((SUM(D37:D38)),2)</totalsRowFormula>
       dataDxfId="93"
    </tableColumn>
  </tableColumns>
  <tableStyleInfo name="TableStyleMedium14" showFirstColumn="0" showLastColumn="0" showRowStripes="1" showColumnStripes="0"/>
</table>
</file>

<file path=xl/tables/table26.xml><?xml version="1.0" encoding="utf-8"?>
<table xmlns="http://schemas.openxmlformats.org/spreadsheetml/2006/main" id="54" name="Submódulo2.255" displayName="Submódulo2.255" ref="A46:D55" totalsRowCount="1">
  <autoFilter ref="A46:D54">
    <filterColumn colId="0" hiddenButton="1"/>
    <filterColumn colId="1" hiddenButton="1"/>
    <filterColumn colId="2" hiddenButton="1"/>
    <filterColumn colId="3" hiddenButton="1"/>
  </autoFilter>
  <tableColumns count="4">
    <tableColumn id="1" name="2.2" totalsRowLabel="Total" dataDxfId="94"/>
    <tableColumn id="2" name="GPS, FGTS e outras contribuições" dataDxfId="95"/>
    <tableColumn id="3" name="Percentual" totalsRowFunction="custom">
      <totalsRowFormula>SUM(C47:C54)</totalsRowFormula>
       dataDxfId="96"
    </tableColumn>
    <tableColumn id="4" name="Valor " totalsRowFunction="custom">
      <calculatedColumnFormula>TRUNC((SUM(D47:D54)),2)</calculatedColumnFormula>
      <totalsRowFormula>TRUNC((SUM(D47:D54)),2)</totalsRowFormula>
       dataDxfId="97"
    </tableColumn>
  </tableColumns>
  <tableStyleInfo name="TableStyleMedium14" showFirstColumn="0" showLastColumn="0" showRowStripes="1" showColumnStripes="0"/>
</table>
</file>

<file path=xl/tables/table27.xml><?xml version="1.0" encoding="utf-8"?>
<table xmlns="http://schemas.openxmlformats.org/spreadsheetml/2006/main" id="55" name="Submódulo2.356" displayName="Submódulo2.356" ref="A58:D64" totalsRowCount="1">
  <autoFilter ref="A58:D63">
    <filterColumn colId="0" hiddenButton="1"/>
    <filterColumn colId="1" hiddenButton="1"/>
    <filterColumn colId="2" hiddenButton="1"/>
    <filterColumn colId="3" hiddenButton="1"/>
  </autoFilter>
  <tableColumns count="4">
    <tableColumn id="1" name="2.3" totalsRowLabel="Total" dataDxfId="98"/>
    <tableColumn id="2" name="Benefícios Mensais e Diários" dataDxfId="99"/>
    <tableColumn id="3" name="Comentário" dataDxfId="100"/>
    <tableColumn id="4" name="Valor" totalsRowFunction="custom">
      <totalsRowFormula>TRUNC((SUM(D59:D63)),2)</totalsRowFormula>
       dataDxfId="101"
    </tableColumn>
  </tableColumns>
  <tableStyleInfo name="TableStyleMedium14" showFirstColumn="0" showLastColumn="0" showRowStripes="1" showColumnStripes="0"/>
</table>
</file>

<file path=xl/tables/table28.xml><?xml version="1.0" encoding="utf-8"?>
<table xmlns="http://schemas.openxmlformats.org/spreadsheetml/2006/main" id="56" name="ResumoMódulo257" displayName="ResumoMódulo257" ref="A67:D71" totalsRowCount="1">
  <autoFilter ref="A67:D70">
    <filterColumn colId="0" hiddenButton="1"/>
    <filterColumn colId="1" hiddenButton="1"/>
    <filterColumn colId="2" hiddenButton="1"/>
    <filterColumn colId="3" hiddenButton="1"/>
  </autoFilter>
  <tableColumns count="4">
    <tableColumn id="1" name="2" totalsRowLabel="Total" dataDxfId="102"/>
    <tableColumn id="2" name="Encargos e Benefícios Anuais, Mensais e Diários" dataDxfId="103"/>
    <tableColumn id="3" name="Comentário" dataDxfId="104"/>
    <tableColumn id="4" name="Valor" totalsRowFunction="custom">
      <calculatedColumnFormula>TRUNC((SUM(D68:D70)),2)</calculatedColumnFormula>
      <totalsRowFormula>TRUNC((SUM(D68:D70)),2)</totalsRowFormula>
       dataDxfId="105"
    </tableColumn>
  </tableColumns>
  <tableStyleInfo name="TableStyleMedium14" showFirstColumn="0" showLastColumn="0" showRowStripes="1" showColumnStripes="0"/>
</table>
</file>

<file path=xl/tables/table29.xml><?xml version="1.0" encoding="utf-8"?>
<table xmlns="http://schemas.openxmlformats.org/spreadsheetml/2006/main" id="57" name="Módulo358" displayName="Módulo358" ref="A74:D81" totalsRowCount="1">
  <autoFilter ref="A74:D80">
    <filterColumn colId="0" hiddenButton="1"/>
    <filterColumn colId="1" hiddenButton="1"/>
    <filterColumn colId="2" hiddenButton="1"/>
    <filterColumn colId="3" hiddenButton="1"/>
  </autoFilter>
  <tableColumns count="4">
    <tableColumn id="1" name="3" totalsRowLabel="Total" dataDxfId="106"/>
    <tableColumn id="2" name="Provisão para Rescisão" dataDxfId="107"/>
    <tableColumn id="3" name="Percentual" totalsRowFunction="custom">
      <calculatedColumnFormula>SUM(C75:C80)</calculatedColumnFormula>
      <totalsRowFormula>SUM(C75:C80)</totalsRowFormula>
       dataDxfId="108"
    </tableColumn>
    <tableColumn id="4" name="Valor" totalsRowFunction="custom">
      <calculatedColumnFormula>TRUNC((SUM(D75:D80)),2)</calculatedColumnFormula>
      <totalsRowFormula>TRUNC((SUM(D75:D80)),2)</totalsRowFormula>
       dataDxfId="109"
    </tableColumn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9" name="Submódulo2.1" displayName="Submódulo2.1" ref="A21:D24" totalsRowCount="1">
  <autoFilter ref="A21:D23">
    <filterColumn colId="0" hiddenButton="1"/>
    <filterColumn colId="1" hiddenButton="1"/>
    <filterColumn colId="2" hiddenButton="1"/>
    <filterColumn colId="3" hiddenButton="1"/>
  </autoFilter>
  <tableColumns count="4">
    <tableColumn id="1" name="2.1" totalsRowLabel="Total" dataDxfId="8"/>
    <tableColumn id="2" name="13º (décimo terceiro) Salário, Férias e Adicional de Férias" dataDxfId="9"/>
    <tableColumn id="3" name="Comentário" dataDxfId="10"/>
    <tableColumn id="4" name="Valor" totalsRowFunction="sum" dataDxfId="11"/>
  </tableColumns>
  <tableStyleInfo name="TableStyleMedium14" showFirstColumn="0" showLastColumn="0" showRowStripes="1" showColumnStripes="0"/>
</table>
</file>

<file path=xl/tables/table30.xml><?xml version="1.0" encoding="utf-8"?>
<table xmlns="http://schemas.openxmlformats.org/spreadsheetml/2006/main" id="58" name="Submódulo4.159" displayName="Submódulo4.159" ref="A90:D97" totalsRowCount="1">
  <autoFilter ref="A90:D96">
    <filterColumn colId="0" hiddenButton="1"/>
    <filterColumn colId="1" hiddenButton="1"/>
    <filterColumn colId="2" hiddenButton="1"/>
    <filterColumn colId="3" hiddenButton="1"/>
  </autoFilter>
  <tableColumns count="4">
    <tableColumn id="1" name="4.1" totalsRowLabel="Total" dataDxfId="110"/>
    <tableColumn id="2" name="Substituto nas Ausências Legais" dataDxfId="111"/>
    <tableColumn id="3" name="Percentual" totalsRowFunction="sum" dataDxfId="112"/>
    <tableColumn id="4" name="Valor" totalsRowFunction="custom">
      <calculatedColumnFormula>TRUNC((SUM(D91:D96)),2)</calculatedColumnFormula>
      <totalsRowFormula>TRUNC((SUM(D91:D96)),2)</totalsRowFormula>
       dataDxfId="113"
    </tableColumn>
  </tableColumns>
  <tableStyleInfo name="TableStyleMedium14" showFirstColumn="0" showLastColumn="0" showRowStripes="1" showColumnStripes="0"/>
</table>
</file>

<file path=xl/tables/table31.xml><?xml version="1.0" encoding="utf-8"?>
<table xmlns="http://schemas.openxmlformats.org/spreadsheetml/2006/main" id="59" name="Submódulo4.260" displayName="Submódulo4.260" ref="A100:D102" totalsRowCount="1">
  <autoFilter ref="A100:D101">
    <filterColumn colId="0" hiddenButton="1"/>
    <filterColumn colId="1" hiddenButton="1"/>
    <filterColumn colId="2" hiddenButton="1"/>
    <filterColumn colId="3" hiddenButton="1"/>
  </autoFilter>
  <tableColumns count="4">
    <tableColumn id="1" name="4.2" totalsRowLabel="Total" dataDxfId="114"/>
    <tableColumn id="2" name="Substituto na Intrajornada " dataDxfId="115"/>
    <tableColumn id="3" name="Comentário" dataDxfId="116"/>
    <tableColumn id="4" name="Valor" totalsRowFunction="custom">
      <totalsRowFormula>D101</totalsRowFormula>
       dataDxfId="117"
    </tableColumn>
  </tableColumns>
  <tableStyleInfo name="TableStyleMedium14" showFirstColumn="0" showLastColumn="0" showRowStripes="1" showColumnStripes="0"/>
</table>
</file>

<file path=xl/tables/table32.xml><?xml version="1.0" encoding="utf-8"?>
<table xmlns="http://schemas.openxmlformats.org/spreadsheetml/2006/main" id="60" name="ResumoMódulo461" displayName="ResumoMódulo461" ref="A105:D108" totalsRowCount="1">
  <autoFilter ref="A105:D107">
    <filterColumn colId="0" hiddenButton="1"/>
    <filterColumn colId="1" hiddenButton="1"/>
    <filterColumn colId="2" hiddenButton="1"/>
    <filterColumn colId="3" hiddenButton="1"/>
  </autoFilter>
  <tableColumns count="4">
    <tableColumn id="1" name="4" totalsRowLabel="Total" dataDxfId="118"/>
    <tableColumn id="2" name="Custo de Reposição do Profissional Ausente" dataDxfId="119"/>
    <tableColumn id="3" name="Comentário" totalsRowLabel="*Nota: Se o titular USUFRUIR do descanso intrajornada, o total é o somatório dos subitens 4.1 e 4.2" dataDxfId="120"/>
    <tableColumn id="4" name="Valor" totalsRowFunction="custom">
      <calculatedColumnFormula>TRUNC((SUM(D106:D107)),2)</calculatedColumnFormula>
      <totalsRowFormula>TRUNC((SUM(D106:D107)),2)</totalsRowFormula>
       dataDxfId="121"
    </tableColumn>
  </tableColumns>
  <tableStyleInfo name="TableStyleMedium14" showFirstColumn="0" showLastColumn="0" showRowStripes="1" showColumnStripes="0"/>
</table>
</file>

<file path=xl/tables/table33.xml><?xml version="1.0" encoding="utf-8"?>
<table xmlns="http://schemas.openxmlformats.org/spreadsheetml/2006/main" id="61" name="Módulo562" displayName="Módulo562" ref="A111:D116" totalsRowCount="1">
  <autoFilter ref="A111:D115">
    <filterColumn colId="0" hiddenButton="1"/>
    <filterColumn colId="1" hiddenButton="1"/>
    <filterColumn colId="2" hiddenButton="1"/>
    <filterColumn colId="3" hiddenButton="1"/>
  </autoFilter>
  <tableColumns count="4">
    <tableColumn id="1" name="5" totalsRowLabel="Total" dataDxfId="122"/>
    <tableColumn id="2" name="Insumos Diversos" dataDxfId="123"/>
    <tableColumn id="3" name="Comentário" dataDxfId="124"/>
    <tableColumn id="4" name="Valor" totalsRowFunction="sum" dataDxfId="125"/>
  </tableColumns>
  <tableStyleInfo name="TableStyleMedium14" showFirstColumn="0" showLastColumn="0" showRowStripes="1" showColumnStripes="0"/>
</table>
</file>

<file path=xl/tables/table34.xml><?xml version="1.0" encoding="utf-8"?>
<table xmlns="http://schemas.openxmlformats.org/spreadsheetml/2006/main" id="62" name="Módulo663" displayName="Módulo663" ref="A126:D133" totalsRowCount="1">
  <tableColumns count="4">
    <tableColumn id="1" name="6" totalsRowLabel="Total" dataDxfId="126"/>
    <tableColumn id="2" name="Custos Indiretos, Tributos e Lucro" dataDxfId="127"/>
    <tableColumn id="3" name="Percentual" dataDxfId="128"/>
    <tableColumn id="4" name="Valor" totalsRowFunction="custom">
      <calculatedColumnFormula>SUM(D127:D129)</calculatedColumnFormula>
      <totalsRowFormula>SUM(D127:D129)</totalsRowFormula>
       dataDxfId="129"
    </tableColumn>
  </tableColumns>
  <tableStyleInfo name="TableStyleMedium14" showFirstColumn="0" showLastColumn="0" showRowStripes="1" showColumnStripes="0"/>
</table>
</file>

<file path=xl/tables/table35.xml><?xml version="1.0" encoding="utf-8"?>
<table xmlns="http://schemas.openxmlformats.org/spreadsheetml/2006/main" id="63" name="ResumoPosto64" displayName="ResumoPosto64" ref="A137:D146">
  <autoFilter ref="A137:D146">
    <filterColumn colId="0" hiddenButton="1"/>
    <filterColumn colId="1" hiddenButton="1"/>
    <filterColumn colId="2" hiddenButton="1"/>
    <filterColumn colId="3" hiddenButton="1"/>
  </autoFilter>
  <tableColumns count="4">
    <tableColumn id="1" name="Item" totalsRowLabel="Total" dataDxfId="130"/>
    <tableColumn id="2" name="Mão de obra vinculada à execução contratual" dataDxfId="131"/>
    <tableColumn id="3" name="-" dataDxfId="132"/>
    <tableColumn id="4" name="Valor" totalsRowFunction="sum" dataDxfId="133"/>
  </tableColumns>
  <tableStyleInfo name="TableStyleMedium14" showFirstColumn="0" showLastColumn="0" showRowStripes="1" showColumnStripes="0"/>
</table>
</file>

<file path=xl/tables/table36.xml><?xml version="1.0" encoding="utf-8"?>
<table xmlns="http://schemas.openxmlformats.org/spreadsheetml/2006/main" id="42" name="Table43" displayName="Table43" ref="A2:G11" totalsRowCount="1">
  <autoFilter ref="A2:G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Item" totalsRowLabel="Total" dataDxfId="134"/>
    <tableColumn id="2" name="Peça" dataDxfId="135"/>
    <tableColumn id="3" name="Descrição" dataDxfId="136"/>
    <tableColumn id="4" name="Valor Médio Unitário (R$)" dataDxfId="137"/>
    <tableColumn id="5" name="Quant. Anual" dataDxfId="138"/>
    <tableColumn id="6" name="Valor Anual/ Empregado (R$)" dataDxfId="139"/>
    <tableColumn id="7" name="Valor Mensal/ Empregado" totalsRowFunction="sum" dataDxfId="140"/>
  </tableColumns>
  <tableStyleInfo name="TableStyleMedium14" showFirstColumn="0" showLastColumn="0" showRowStripes="1" showColumnStripes="0"/>
</table>
</file>

<file path=xl/tables/table37.xml><?xml version="1.0" encoding="utf-8"?>
<table xmlns="http://schemas.openxmlformats.org/spreadsheetml/2006/main" id="1" name="Table43_2" displayName="Table43_2" ref="A14:G18" totalsRowCount="1">
  <autoFilter ref="A14:G17"/>
  <tableColumns count="7">
    <tableColumn id="1" name="Item" totalsRowLabel="Total" dataDxfId="141"/>
    <tableColumn id="2" name="Peça" dataDxfId="142"/>
    <tableColumn id="3" name="Descrição" dataDxfId="143"/>
    <tableColumn id="4" name="Valor Médio Unitário (R$)" dataDxfId="144"/>
    <tableColumn id="5" name="Quant. Anual" dataDxfId="145"/>
    <tableColumn id="6" name="Valor Anual/ Empregado (R$)" dataDxfId="146"/>
    <tableColumn id="7" name="Valor Mensal/ Empregado" totalsRowFunction="sum" dataDxfId="147"/>
  </tableColumns>
  <tableStyleInfo name="TableStyleMedium14" showFirstColumn="0" showLastColumn="0" showRowStripes="1" showColumnStripes="0"/>
</table>
</file>

<file path=xl/tables/table38.xml><?xml version="1.0" encoding="utf-8"?>
<table xmlns="http://schemas.openxmlformats.org/spreadsheetml/2006/main" id="44" name="Table44" displayName="Table44" ref="A2:F10" totalsRowCount="1">
  <autoFilter ref="A2:F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Item" totalsRowLabel="Total" dataDxfId="148"/>
    <tableColumn id="2" name="Descrição" dataDxfId="149"/>
    <tableColumn id="3" name="Unidade" dataDxfId="150"/>
    <tableColumn id="4" name="Valor Médio Unitário" dataDxfId="151"/>
    <tableColumn id="5" name="Quantidade" dataDxfId="152"/>
    <tableColumn id="6" name="Valor Total (R$)" totalsRowFunction="sum" dataDxfId="153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10" name="Submódulo2.2" displayName="Submódulo2.2" ref="A32:D41" totalsRowCount="1">
  <autoFilter ref="A32:D40">
    <filterColumn colId="0" hiddenButton="1"/>
    <filterColumn colId="1" hiddenButton="1"/>
    <filterColumn colId="2" hiddenButton="1"/>
    <filterColumn colId="3" hiddenButton="1"/>
  </autoFilter>
  <tableColumns count="4">
    <tableColumn id="1" name="2.2" totalsRowLabel="Total" dataDxfId="12"/>
    <tableColumn id="2" name="GPS, FGTS e outras contribuições" dataDxfId="13"/>
    <tableColumn id="3" name="Percentual" totalsRowFunction="sum" dataDxfId="14"/>
    <tableColumn id="4" name="Valor " totalsRowFunction="sum" dataDxfId="15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id="11" name="Submódulo2.3" displayName="Submódulo2.3" ref="A48:D53" totalsRowCount="1">
  <autoFilter ref="A48:D52">
    <filterColumn colId="0" hiddenButton="1"/>
    <filterColumn colId="1" hiddenButton="1"/>
    <filterColumn colId="2" hiddenButton="1"/>
    <filterColumn colId="3" hiddenButton="1"/>
  </autoFilter>
  <tableColumns count="4">
    <tableColumn id="1" name="2.3" totalsRowLabel="Total" dataDxfId="16"/>
    <tableColumn id="2" name="Benefícios Mensais e Diários" dataDxfId="17"/>
    <tableColumn id="3" name="Comentário" dataDxfId="18"/>
    <tableColumn id="4" name="Valor" totalsRowFunction="sum" dataDxfId="19"/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12" name="ResumoMódulo2" displayName="ResumoMódulo2" ref="A61:D65" totalsRowCount="1">
  <autoFilter ref="A61:D64">
    <filterColumn colId="0" hiddenButton="1"/>
    <filterColumn colId="1" hiddenButton="1"/>
    <filterColumn colId="2" hiddenButton="1"/>
    <filterColumn colId="3" hiddenButton="1"/>
  </autoFilter>
  <tableColumns count="4">
    <tableColumn id="1" name="2" totalsRowLabel="Total" dataDxfId="20"/>
    <tableColumn id="2" name="Encargos e Benefícios Anuais, Mensais e Diários" dataDxfId="21"/>
    <tableColumn id="3" name="Comentário" dataDxfId="22"/>
    <tableColumn id="4" name="Valor" totalsRowFunction="sum" dataDxfId="23"/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3" name="Módulo3" displayName="Módulo3" ref="A68:D75" totalsRowCount="1">
  <autoFilter ref="A68:D74">
    <filterColumn colId="0" hiddenButton="1"/>
    <filterColumn colId="1" hiddenButton="1"/>
    <filterColumn colId="2" hiddenButton="1"/>
    <filterColumn colId="3" hiddenButton="1"/>
  </autoFilter>
  <tableColumns count="4">
    <tableColumn id="1" name="3" totalsRowLabel="Total" dataDxfId="24"/>
    <tableColumn id="2" name="Provisão para Rescisão" dataDxfId="25"/>
    <tableColumn id="3" name="Comentário" dataDxfId="26"/>
    <tableColumn id="4" name="Valor" totalsRowFunction="sum" dataDxfId="27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4" name="Submódulo4.1" displayName="Submódulo4.1" ref="A88:D95" totalsRowCount="1">
  <autoFilter ref="A88:D94">
    <filterColumn colId="0" hiddenButton="1"/>
    <filterColumn colId="1" hiddenButton="1"/>
    <filterColumn colId="2" hiddenButton="1"/>
    <filterColumn colId="3" hiddenButton="1"/>
  </autoFilter>
  <tableColumns count="4">
    <tableColumn id="1" name="4.1" totalsRowLabel="Total" dataDxfId="28"/>
    <tableColumn id="2" name="Substituto nas Ausências Legais" dataDxfId="29"/>
    <tableColumn id="3" name="Dias de ausência" totalsRowFunction="sum" dataDxfId="30"/>
    <tableColumn id="4" name="Valor" totalsRowFunction="sum" dataDxfId="31"/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5" name="Submódulo4.2" displayName="Submódulo4.2" ref="A103:D105" totalsRowCount="1">
  <autoFilter ref="A103:D104">
    <filterColumn colId="0" hiddenButton="1"/>
    <filterColumn colId="1" hiddenButton="1"/>
    <filterColumn colId="2" hiddenButton="1"/>
    <filterColumn colId="3" hiddenButton="1"/>
  </autoFilter>
  <tableColumns count="4">
    <tableColumn id="1" name="4.2" totalsRowLabel="Total" dataDxfId="32"/>
    <tableColumn id="2" name="Substituto na Intrajornada " dataDxfId="33"/>
    <tableColumn id="3" name="Comentário" dataDxfId="34"/>
    <tableColumn id="4" name="Valor" totalsRowFunction="sum" dataDxfId="35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7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sheetData>
    <row r="1" spans="1:11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ht="57" customHeight="1" spans="1:11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ht="51" customHeight="1" spans="1:11">
      <c r="A3" s="117" t="s">
        <v>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ht="54.75" customHeight="1" spans="1:11">
      <c r="A4" s="117" t="s">
        <v>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5" ht="67.5" customHeight="1" spans="1:11">
      <c r="A5" s="118" t="s">
        <v>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ht="84.75" customHeight="1" spans="1:11">
      <c r="A6" s="118" t="s">
        <v>5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</row>
    <row r="7" ht="49.5" customHeight="1" spans="1:11">
      <c r="A7" s="118" t="s">
        <v>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ht="38.25" customHeight="1" spans="1:11">
      <c r="A8" s="118" t="s">
        <v>7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</row>
    <row r="9" ht="39.75" customHeight="1" spans="1:11">
      <c r="A9" s="117" t="s">
        <v>8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</row>
    <row r="10" ht="41.25" customHeight="1" spans="1:11">
      <c r="A10" s="117" t="s">
        <v>9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ht="41.25" customHeight="1" spans="1:11">
      <c r="A11" s="119" t="s">
        <v>10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</row>
    <row r="12" spans="1:11">
      <c r="A12" s="120" t="s">
        <v>11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</row>
    <row r="13" spans="1:11">
      <c r="A13" s="121" t="s">
        <v>12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</row>
    <row r="14" spans="1:11">
      <c r="A14" s="121" t="s">
        <v>13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topLeftCell="A116" workbookViewId="0">
      <selection activeCell="A1" sqref="A1:G148"/>
    </sheetView>
  </sheetViews>
  <sheetFormatPr defaultColWidth="9" defaultRowHeight="15"/>
  <cols>
    <col min="1" max="1" width="12.4285714285714" customWidth="1"/>
    <col min="2" max="2" width="76.4285714285714" customWidth="1"/>
    <col min="3" max="3" width="28.4285714285714" customWidth="1"/>
    <col min="4" max="4" width="27.4285714285714" customWidth="1"/>
    <col min="6" max="6" width="32.7142857142857" customWidth="1"/>
    <col min="7" max="7" width="13" customWidth="1"/>
  </cols>
  <sheetData>
    <row r="1" spans="1:21">
      <c r="A1" s="104" t="s">
        <v>14</v>
      </c>
      <c r="B1" s="104"/>
      <c r="C1" s="104"/>
      <c r="D1" s="104"/>
      <c r="F1" s="1" t="s">
        <v>15</v>
      </c>
      <c r="G1" s="1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21">
      <c r="A2" s="3" t="s">
        <v>16</v>
      </c>
      <c r="B2" t="s">
        <v>17</v>
      </c>
      <c r="C2" s="3" t="s">
        <v>18</v>
      </c>
      <c r="D2" s="3" t="s">
        <v>19</v>
      </c>
      <c r="F2" t="s">
        <v>17</v>
      </c>
      <c r="G2" t="s">
        <v>19</v>
      </c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</row>
    <row r="3" spans="1:21">
      <c r="A3" s="3">
        <v>1</v>
      </c>
      <c r="B3" t="s">
        <v>20</v>
      </c>
      <c r="C3" s="3"/>
      <c r="D3" s="3" t="s">
        <v>21</v>
      </c>
      <c r="F3" t="s">
        <v>22</v>
      </c>
      <c r="G3" s="105">
        <v>0</v>
      </c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1">
      <c r="A4" s="3">
        <v>2</v>
      </c>
      <c r="B4" t="s">
        <v>23</v>
      </c>
      <c r="C4" s="3"/>
      <c r="D4" s="3" t="s">
        <v>24</v>
      </c>
      <c r="F4" t="s">
        <v>25</v>
      </c>
      <c r="G4" s="105">
        <v>12</v>
      </c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1">
      <c r="A5" s="3">
        <v>3</v>
      </c>
      <c r="B5" t="s">
        <v>26</v>
      </c>
      <c r="C5" s="3" t="s">
        <v>27</v>
      </c>
      <c r="D5" s="106">
        <v>998</v>
      </c>
      <c r="F5" t="s">
        <v>28</v>
      </c>
      <c r="G5" s="107">
        <v>22</v>
      </c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</row>
    <row r="6" spans="1:21">
      <c r="A6" s="3">
        <v>4</v>
      </c>
      <c r="B6" t="s">
        <v>29</v>
      </c>
      <c r="C6" s="3" t="s">
        <v>30</v>
      </c>
      <c r="D6" s="3" t="s">
        <v>31</v>
      </c>
      <c r="F6" t="s">
        <v>32</v>
      </c>
      <c r="G6" s="108">
        <v>0.03</v>
      </c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</row>
    <row r="7" spans="1:21">
      <c r="A7" s="3">
        <v>5</v>
      </c>
      <c r="B7" t="s">
        <v>33</v>
      </c>
      <c r="C7" s="3"/>
      <c r="D7" s="3" t="s">
        <v>34</v>
      </c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6:21">
      <c r="F8" s="1" t="s">
        <v>35</v>
      </c>
      <c r="G8" s="1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1">
      <c r="A9" s="41" t="s">
        <v>36</v>
      </c>
      <c r="B9" s="41"/>
      <c r="C9" s="41"/>
      <c r="D9" s="41"/>
      <c r="F9" t="s">
        <v>37</v>
      </c>
      <c r="G9" t="s">
        <v>38</v>
      </c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1">
      <c r="A10" s="3" t="s">
        <v>39</v>
      </c>
      <c r="B10" t="s">
        <v>40</v>
      </c>
      <c r="C10" s="3" t="s">
        <v>18</v>
      </c>
      <c r="D10" s="3" t="s">
        <v>19</v>
      </c>
      <c r="F10" t="s">
        <v>41</v>
      </c>
      <c r="G10" s="68">
        <v>0.4337</v>
      </c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1">
      <c r="A11" s="3" t="s">
        <v>42</v>
      </c>
      <c r="B11" t="s">
        <v>43</v>
      </c>
      <c r="C11" s="3"/>
      <c r="D11" s="25">
        <f>Salário_Normativo_da_Categoria_Profissional</f>
        <v>998</v>
      </c>
      <c r="F11" t="s">
        <v>44</v>
      </c>
      <c r="G11" s="68">
        <v>0.4337</v>
      </c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1">
      <c r="A12" s="3" t="s">
        <v>45</v>
      </c>
      <c r="B12" t="s">
        <v>46</v>
      </c>
      <c r="C12" s="3"/>
      <c r="D12" s="25"/>
      <c r="F12" t="s">
        <v>47</v>
      </c>
      <c r="G12" s="68">
        <v>0.0218</v>
      </c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1">
      <c r="A13" s="3" t="s">
        <v>48</v>
      </c>
      <c r="B13" t="s">
        <v>49</v>
      </c>
      <c r="C13" s="3"/>
      <c r="D13" s="25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1">
      <c r="A14" s="3" t="s">
        <v>50</v>
      </c>
      <c r="B14" t="s">
        <v>51</v>
      </c>
      <c r="C14" s="3"/>
      <c r="D14" s="25"/>
      <c r="F14" s="1" t="s">
        <v>52</v>
      </c>
      <c r="G14" s="1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</row>
    <row r="15" spans="1:21">
      <c r="A15" s="3" t="s">
        <v>53</v>
      </c>
      <c r="B15" t="s">
        <v>54</v>
      </c>
      <c r="C15" s="3"/>
      <c r="D15" s="25"/>
      <c r="F15" s="64" t="s">
        <v>17</v>
      </c>
      <c r="G15" s="64" t="s">
        <v>38</v>
      </c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spans="1:21">
      <c r="A16" s="3" t="s">
        <v>55</v>
      </c>
      <c r="B16" t="s">
        <v>56</v>
      </c>
      <c r="C16" s="3"/>
      <c r="D16" s="25"/>
      <c r="F16" s="64" t="s">
        <v>57</v>
      </c>
      <c r="G16" s="109">
        <v>0.0471</v>
      </c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</row>
    <row r="17" spans="1:21">
      <c r="A17" s="3" t="s">
        <v>58</v>
      </c>
      <c r="C17" s="3"/>
      <c r="D17" s="25">
        <f>SUBTOTAL(109,Módulo1[Valor])</f>
        <v>998</v>
      </c>
      <c r="F17" s="64" t="s">
        <v>59</v>
      </c>
      <c r="G17" s="109">
        <v>0.0467</v>
      </c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</row>
    <row r="18" spans="6:21">
      <c r="F18" s="64" t="s">
        <v>60</v>
      </c>
      <c r="G18" s="110">
        <v>0.0165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</row>
    <row r="19" spans="1:21">
      <c r="A19" s="69" t="s">
        <v>61</v>
      </c>
      <c r="B19" s="69"/>
      <c r="C19" s="69"/>
      <c r="D19" s="69"/>
      <c r="F19" s="64" t="s">
        <v>62</v>
      </c>
      <c r="G19" s="110">
        <v>0.076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</row>
    <row r="20" spans="1:21">
      <c r="A20" s="1" t="s">
        <v>63</v>
      </c>
      <c r="B20" s="1"/>
      <c r="C20" s="1"/>
      <c r="D20" s="1"/>
      <c r="F20" s="64" t="s">
        <v>64</v>
      </c>
      <c r="G20" s="110">
        <v>0.05</v>
      </c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</row>
    <row r="21" spans="1:21">
      <c r="A21" s="3" t="s">
        <v>65</v>
      </c>
      <c r="B21" t="s">
        <v>66</v>
      </c>
      <c r="C21" s="3" t="s">
        <v>18</v>
      </c>
      <c r="D21" s="3" t="s">
        <v>19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</row>
    <row r="22" spans="1:21">
      <c r="A22" s="3" t="s">
        <v>42</v>
      </c>
      <c r="B22" t="s">
        <v>67</v>
      </c>
      <c r="D22" s="25">
        <f>Módulo1[[#Totals],[Valor]]/12</f>
        <v>83.1666666666667</v>
      </c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</row>
    <row r="23" spans="1:21">
      <c r="A23" s="3" t="s">
        <v>45</v>
      </c>
      <c r="B23" t="s">
        <v>68</v>
      </c>
      <c r="D23" s="25">
        <f>(Módulo1[[#Totals],[Valor]]/12)*(1+(1/3))</f>
        <v>110.888888888889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</row>
    <row r="24" spans="1:21">
      <c r="A24" s="3" t="s">
        <v>58</v>
      </c>
      <c r="D24" s="25">
        <f>SUBTOTAL(109,Submódulo2.1[Valor])</f>
        <v>194.055555555556</v>
      </c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</row>
    <row r="25" spans="1:21">
      <c r="A25" s="3"/>
      <c r="D25" s="25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</row>
    <row r="26" spans="1:21">
      <c r="A26" s="111" t="s">
        <v>69</v>
      </c>
      <c r="B26" s="111"/>
      <c r="C26" s="111"/>
      <c r="D26" s="111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</row>
    <row r="27" spans="1:21">
      <c r="A27" s="111" t="s">
        <v>16</v>
      </c>
      <c r="B27" s="111" t="s">
        <v>70</v>
      </c>
      <c r="C27" s="111" t="s">
        <v>71</v>
      </c>
      <c r="D27" s="112" t="s">
        <v>72</v>
      </c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</row>
    <row r="28" ht="30" spans="1:21">
      <c r="A28" s="9" t="s">
        <v>42</v>
      </c>
      <c r="B28" s="113" t="s">
        <v>73</v>
      </c>
      <c r="C28" s="21" t="s">
        <v>74</v>
      </c>
      <c r="D28" s="113" t="s">
        <v>75</v>
      </c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</row>
    <row r="29" ht="30" spans="1:21">
      <c r="A29" s="9" t="s">
        <v>45</v>
      </c>
      <c r="B29" s="114" t="s">
        <v>68</v>
      </c>
      <c r="C29" s="21" t="s">
        <v>74</v>
      </c>
      <c r="D29" s="113" t="s">
        <v>76</v>
      </c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</row>
    <row r="30" spans="1:21">
      <c r="A30" s="3"/>
      <c r="B30" s="3"/>
      <c r="C30" s="85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</row>
    <row r="31" spans="1:4">
      <c r="A31" s="1" t="s">
        <v>77</v>
      </c>
      <c r="B31" s="1"/>
      <c r="C31" s="1"/>
      <c r="D31" s="1"/>
    </row>
    <row r="32" spans="1:4">
      <c r="A32" s="3" t="s">
        <v>78</v>
      </c>
      <c r="B32" t="s">
        <v>79</v>
      </c>
      <c r="C32" s="3" t="s">
        <v>38</v>
      </c>
      <c r="D32" s="3" t="s">
        <v>80</v>
      </c>
    </row>
    <row r="33" spans="1:4">
      <c r="A33" s="3" t="s">
        <v>42</v>
      </c>
      <c r="B33" t="s">
        <v>81</v>
      </c>
      <c r="C33" s="70">
        <v>0.2</v>
      </c>
      <c r="D33" s="25">
        <f>C33*(Módulo1[[#Totals],[Valor]]+Submódulo2.1[[#Totals],[Valor]])</f>
        <v>238.411111111111</v>
      </c>
    </row>
    <row r="34" spans="1:4">
      <c r="A34" s="3" t="s">
        <v>45</v>
      </c>
      <c r="B34" t="s">
        <v>82</v>
      </c>
      <c r="C34" s="70">
        <v>0.025</v>
      </c>
      <c r="D34" s="25">
        <f>C34*(Módulo1[[#Totals],[Valor]]+Submódulo2.1[[#Totals],[Valor]])</f>
        <v>29.8013888888889</v>
      </c>
    </row>
    <row r="35" spans="1:4">
      <c r="A35" s="3" t="s">
        <v>48</v>
      </c>
      <c r="B35" t="s">
        <v>83</v>
      </c>
      <c r="C35" s="70">
        <f>Servente!G6</f>
        <v>0.03</v>
      </c>
      <c r="D35" s="25">
        <f>C35*(Módulo1[[#Totals],[Valor]]+Submódulo2.1[[#Totals],[Valor]])</f>
        <v>35.7616666666667</v>
      </c>
    </row>
    <row r="36" spans="1:4">
      <c r="A36" s="3" t="s">
        <v>50</v>
      </c>
      <c r="B36" t="s">
        <v>84</v>
      </c>
      <c r="C36" s="70">
        <v>0.015</v>
      </c>
      <c r="D36" s="25">
        <f>C36*(Módulo1[[#Totals],[Valor]]+Submódulo2.1[[#Totals],[Valor]])</f>
        <v>17.8808333333333</v>
      </c>
    </row>
    <row r="37" spans="1:4">
      <c r="A37" s="3" t="s">
        <v>53</v>
      </c>
      <c r="B37" t="s">
        <v>85</v>
      </c>
      <c r="C37" s="70">
        <v>0.01</v>
      </c>
      <c r="D37" s="25">
        <f>C37*(Módulo1[[#Totals],[Valor]]+Submódulo2.1[[#Totals],[Valor]])</f>
        <v>11.9205555555556</v>
      </c>
    </row>
    <row r="38" spans="1:4">
      <c r="A38" s="3" t="s">
        <v>55</v>
      </c>
      <c r="B38" t="s">
        <v>86</v>
      </c>
      <c r="C38" s="70">
        <v>0.006</v>
      </c>
      <c r="D38" s="25">
        <f>C38*(Módulo1[[#Totals],[Valor]]+Submódulo2.1[[#Totals],[Valor]])</f>
        <v>7.15233333333333</v>
      </c>
    </row>
    <row r="39" spans="1:4">
      <c r="A39" s="3" t="s">
        <v>87</v>
      </c>
      <c r="B39" t="s">
        <v>88</v>
      </c>
      <c r="C39" s="70">
        <v>0.002</v>
      </c>
      <c r="D39" s="25">
        <f>C39*(Módulo1[[#Totals],[Valor]]+Submódulo2.1[[#Totals],[Valor]])</f>
        <v>2.38411111111111</v>
      </c>
    </row>
    <row r="40" spans="1:4">
      <c r="A40" s="3" t="s">
        <v>89</v>
      </c>
      <c r="B40" t="s">
        <v>90</v>
      </c>
      <c r="C40" s="70">
        <v>0.08</v>
      </c>
      <c r="D40" s="25">
        <f>C40*(Módulo1[[#Totals],[Valor]]+Submódulo2.1[[#Totals],[Valor]])</f>
        <v>95.3644444444445</v>
      </c>
    </row>
    <row r="41" spans="1:4">
      <c r="A41" s="3" t="s">
        <v>58</v>
      </c>
      <c r="C41" s="76">
        <f>SUBTOTAL(109,Submódulo2.2[Percentual])</f>
        <v>0.368</v>
      </c>
      <c r="D41" s="25">
        <f>SUBTOTAL(109,Submódulo2.2[Valor ])</f>
        <v>438.676444444444</v>
      </c>
    </row>
    <row r="42" spans="1:4">
      <c r="A42" s="3"/>
      <c r="C42" s="76"/>
      <c r="D42" s="25"/>
    </row>
    <row r="43" spans="1:4">
      <c r="A43" s="111" t="s">
        <v>91</v>
      </c>
      <c r="B43" s="111"/>
      <c r="C43" s="111"/>
      <c r="D43" s="111"/>
    </row>
    <row r="44" spans="1:4">
      <c r="A44" s="111" t="s">
        <v>16</v>
      </c>
      <c r="B44" s="111" t="s">
        <v>70</v>
      </c>
      <c r="C44" s="111" t="s">
        <v>71</v>
      </c>
      <c r="D44" s="112" t="s">
        <v>72</v>
      </c>
    </row>
    <row r="45" ht="30" spans="1:4">
      <c r="A45" s="9" t="s">
        <v>92</v>
      </c>
      <c r="B45" s="113" t="s">
        <v>79</v>
      </c>
      <c r="C45" s="113" t="s">
        <v>93</v>
      </c>
      <c r="D45" s="113" t="s">
        <v>94</v>
      </c>
    </row>
    <row r="47" spans="1:4">
      <c r="A47" s="1" t="s">
        <v>95</v>
      </c>
      <c r="B47" s="1"/>
      <c r="C47" s="1"/>
      <c r="D47" s="1"/>
    </row>
    <row r="48" spans="1:4">
      <c r="A48" s="3" t="s">
        <v>96</v>
      </c>
      <c r="B48" t="s">
        <v>97</v>
      </c>
      <c r="C48" s="3" t="s">
        <v>18</v>
      </c>
      <c r="D48" s="3" t="s">
        <v>19</v>
      </c>
    </row>
    <row r="49" spans="1:4">
      <c r="A49" s="3" t="s">
        <v>42</v>
      </c>
      <c r="B49" t="s">
        <v>98</v>
      </c>
      <c r="D49" s="25">
        <f>IF(G3=0,0,(Servente!G3*2*Servente!G5)-(6%*_1A))</f>
        <v>0</v>
      </c>
    </row>
    <row r="50" spans="1:4">
      <c r="A50" s="3" t="s">
        <v>45</v>
      </c>
      <c r="B50" t="s">
        <v>99</v>
      </c>
      <c r="D50" s="25">
        <f>(Servente!G4*Servente!G5)*80%</f>
        <v>211.2</v>
      </c>
    </row>
    <row r="51" spans="1:4">
      <c r="A51" s="3" t="s">
        <v>48</v>
      </c>
      <c r="B51" t="s">
        <v>100</v>
      </c>
      <c r="D51" s="25"/>
    </row>
    <row r="52" spans="1:4">
      <c r="A52" s="3" t="s">
        <v>50</v>
      </c>
      <c r="B52" t="s">
        <v>56</v>
      </c>
      <c r="D52" s="25"/>
    </row>
    <row r="53" spans="1:4">
      <c r="A53" s="3" t="s">
        <v>58</v>
      </c>
      <c r="D53" s="25">
        <f>SUBTOTAL(109,Submódulo2.3[Valor])</f>
        <v>211.2</v>
      </c>
    </row>
    <row r="54" spans="1:4">
      <c r="A54" s="3"/>
      <c r="D54" s="25"/>
    </row>
    <row r="55" spans="1:4">
      <c r="A55" s="111" t="s">
        <v>101</v>
      </c>
      <c r="B55" s="111"/>
      <c r="C55" s="111"/>
      <c r="D55" s="111"/>
    </row>
    <row r="56" spans="1:4">
      <c r="A56" s="111" t="s">
        <v>16</v>
      </c>
      <c r="B56" s="111" t="s">
        <v>70</v>
      </c>
      <c r="C56" s="111" t="s">
        <v>71</v>
      </c>
      <c r="D56" s="111" t="s">
        <v>72</v>
      </c>
    </row>
    <row r="57" ht="45" spans="1:4">
      <c r="A57" s="9" t="s">
        <v>42</v>
      </c>
      <c r="B57" s="113" t="s">
        <v>98</v>
      </c>
      <c r="C57" s="21" t="s">
        <v>102</v>
      </c>
      <c r="D57" s="21" t="s">
        <v>103</v>
      </c>
    </row>
    <row r="58" ht="30" spans="1:4">
      <c r="A58" s="9" t="s">
        <v>45</v>
      </c>
      <c r="B58" s="114" t="s">
        <v>99</v>
      </c>
      <c r="C58" s="21" t="s">
        <v>102</v>
      </c>
      <c r="D58" s="21" t="s">
        <v>104</v>
      </c>
    </row>
    <row r="59" ht="19.5" customHeight="1" spans="1:4">
      <c r="A59" s="3"/>
      <c r="D59" s="25"/>
    </row>
    <row r="60" spans="1:4">
      <c r="A60" s="1" t="s">
        <v>105</v>
      </c>
      <c r="B60" s="1"/>
      <c r="C60" s="1"/>
      <c r="D60" s="1"/>
    </row>
    <row r="61" spans="1:4">
      <c r="A61" s="3" t="s">
        <v>106</v>
      </c>
      <c r="B61" t="s">
        <v>107</v>
      </c>
      <c r="C61" s="3" t="s">
        <v>18</v>
      </c>
      <c r="D61" s="3" t="s">
        <v>19</v>
      </c>
    </row>
    <row r="62" spans="1:4">
      <c r="A62" s="3" t="s">
        <v>65</v>
      </c>
      <c r="B62" t="s">
        <v>66</v>
      </c>
      <c r="C62" s="3"/>
      <c r="D62" s="25">
        <f>Submódulo2.1[[#Totals],[Valor]]</f>
        <v>194.055555555556</v>
      </c>
    </row>
    <row r="63" spans="1:4">
      <c r="A63" s="3" t="s">
        <v>78</v>
      </c>
      <c r="B63" t="s">
        <v>79</v>
      </c>
      <c r="C63" s="3"/>
      <c r="D63" s="25">
        <f>Submódulo2.2[[#Totals],[Valor ]]</f>
        <v>438.676444444444</v>
      </c>
    </row>
    <row r="64" spans="1:4">
      <c r="A64" s="3" t="s">
        <v>96</v>
      </c>
      <c r="B64" t="s">
        <v>97</v>
      </c>
      <c r="C64" s="3"/>
      <c r="D64" s="25">
        <f>Submódulo2.3[[#Totals],[Valor]]</f>
        <v>211.2</v>
      </c>
    </row>
    <row r="65" spans="1:4">
      <c r="A65" s="3" t="s">
        <v>58</v>
      </c>
      <c r="C65" s="3"/>
      <c r="D65" s="25">
        <f>SUBTOTAL(109,ResumoMódulo2[Valor])</f>
        <v>843.932</v>
      </c>
    </row>
    <row r="67" spans="1:4">
      <c r="A67" s="41" t="s">
        <v>108</v>
      </c>
      <c r="B67" s="41"/>
      <c r="C67" s="41"/>
      <c r="D67" s="41"/>
    </row>
    <row r="68" spans="1:4">
      <c r="A68" s="3" t="s">
        <v>109</v>
      </c>
      <c r="B68" t="s">
        <v>110</v>
      </c>
      <c r="C68" s="3" t="s">
        <v>18</v>
      </c>
      <c r="D68" s="3" t="s">
        <v>19</v>
      </c>
    </row>
    <row r="69" spans="1:4">
      <c r="A69" s="3" t="s">
        <v>42</v>
      </c>
      <c r="B69" t="s">
        <v>111</v>
      </c>
      <c r="D69" s="25">
        <f>((Módulo1[[#Totals],[Valor]]+D62+D64)/12)*Servente!G10</f>
        <v>50.715994537037</v>
      </c>
    </row>
    <row r="70" spans="1:4">
      <c r="A70" s="3" t="s">
        <v>45</v>
      </c>
      <c r="B70" t="s">
        <v>112</v>
      </c>
      <c r="D70" s="25">
        <f>(D40/12)*Servente!G10</f>
        <v>3.44662996296296</v>
      </c>
    </row>
    <row r="71" spans="1:4">
      <c r="A71" s="3" t="s">
        <v>48</v>
      </c>
      <c r="B71" t="s">
        <v>113</v>
      </c>
      <c r="D71" s="25">
        <f>D40*50%*Servente!G10</f>
        <v>20.6797797777778</v>
      </c>
    </row>
    <row r="72" spans="1:4">
      <c r="A72" s="3" t="s">
        <v>50</v>
      </c>
      <c r="B72" t="s">
        <v>114</v>
      </c>
      <c r="D72" s="25">
        <f>((Módulo1[[#Totals],[Valor]]+ResumoMódulo2[[#Totals],[Valor]])/12)*Servente!G11</f>
        <v>66.5704923666667</v>
      </c>
    </row>
    <row r="73" spans="1:4">
      <c r="A73" s="3" t="s">
        <v>53</v>
      </c>
      <c r="B73" t="s">
        <v>115</v>
      </c>
      <c r="D73" s="25">
        <f>D40*50%*Servente!G11</f>
        <v>20.6797797777778</v>
      </c>
    </row>
    <row r="74" spans="1:4">
      <c r="A74" s="3" t="s">
        <v>55</v>
      </c>
      <c r="B74" t="s">
        <v>116</v>
      </c>
      <c r="D74" s="25">
        <f>-D62*Servente!G12</f>
        <v>-4.23041111111111</v>
      </c>
    </row>
    <row r="75" spans="1:4">
      <c r="A75" s="3" t="s">
        <v>58</v>
      </c>
      <c r="D75" s="25">
        <f>SUBTOTAL(109,Módulo3[Valor])</f>
        <v>157.862265311111</v>
      </c>
    </row>
    <row r="76" spans="1:4">
      <c r="A76" s="3"/>
      <c r="D76" s="25"/>
    </row>
    <row r="77" spans="1:4">
      <c r="A77" s="111" t="s">
        <v>117</v>
      </c>
      <c r="B77" s="111"/>
      <c r="C77" s="111"/>
      <c r="D77" s="111"/>
    </row>
    <row r="78" spans="1:4">
      <c r="A78" s="111" t="s">
        <v>16</v>
      </c>
      <c r="B78" s="111" t="s">
        <v>70</v>
      </c>
      <c r="C78" s="111" t="s">
        <v>71</v>
      </c>
      <c r="D78" s="111" t="s">
        <v>72</v>
      </c>
    </row>
    <row r="79" ht="60" spans="1:4">
      <c r="A79" s="9" t="s">
        <v>42</v>
      </c>
      <c r="B79" s="113" t="s">
        <v>111</v>
      </c>
      <c r="C79" s="21" t="s">
        <v>118</v>
      </c>
      <c r="D79" s="21" t="s">
        <v>119</v>
      </c>
    </row>
    <row r="80" ht="60" spans="1:4">
      <c r="A80" s="9" t="s">
        <v>45</v>
      </c>
      <c r="B80" s="114" t="s">
        <v>112</v>
      </c>
      <c r="C80" s="21" t="s">
        <v>120</v>
      </c>
      <c r="D80" s="21" t="s">
        <v>119</v>
      </c>
    </row>
    <row r="81" ht="75" spans="1:4">
      <c r="A81" s="9" t="s">
        <v>48</v>
      </c>
      <c r="B81" s="114" t="s">
        <v>113</v>
      </c>
      <c r="C81" s="21" t="s">
        <v>120</v>
      </c>
      <c r="D81" s="24" t="s">
        <v>121</v>
      </c>
    </row>
    <row r="82" ht="60" spans="1:4">
      <c r="A82" s="9" t="s">
        <v>50</v>
      </c>
      <c r="B82" s="78" t="s">
        <v>114</v>
      </c>
      <c r="C82" s="21" t="s">
        <v>122</v>
      </c>
      <c r="D82" s="24" t="s">
        <v>123</v>
      </c>
    </row>
    <row r="83" ht="75" spans="1:4">
      <c r="A83" s="9" t="s">
        <v>53</v>
      </c>
      <c r="B83" s="78" t="s">
        <v>115</v>
      </c>
      <c r="C83" s="21" t="s">
        <v>120</v>
      </c>
      <c r="D83" s="24" t="s">
        <v>124</v>
      </c>
    </row>
    <row r="84" ht="60" spans="1:4">
      <c r="A84" s="9" t="s">
        <v>55</v>
      </c>
      <c r="B84" s="78" t="s">
        <v>116</v>
      </c>
      <c r="C84" s="21" t="s">
        <v>125</v>
      </c>
      <c r="D84" s="24" t="s">
        <v>126</v>
      </c>
    </row>
    <row r="86" spans="1:4">
      <c r="A86" s="82" t="s">
        <v>127</v>
      </c>
      <c r="B86" s="69"/>
      <c r="C86" s="69"/>
      <c r="D86" s="69"/>
    </row>
    <row r="87" spans="1:4">
      <c r="A87" s="83" t="s">
        <v>128</v>
      </c>
      <c r="B87" s="83"/>
      <c r="C87" s="83"/>
      <c r="D87" s="83"/>
    </row>
    <row r="88" spans="1:4">
      <c r="A88" s="3" t="s">
        <v>129</v>
      </c>
      <c r="B88" t="s">
        <v>130</v>
      </c>
      <c r="C88" s="3" t="s">
        <v>131</v>
      </c>
      <c r="D88" s="3" t="s">
        <v>19</v>
      </c>
    </row>
    <row r="89" spans="1:4">
      <c r="A89" s="3" t="s">
        <v>42</v>
      </c>
      <c r="B89" t="s">
        <v>132</v>
      </c>
      <c r="C89" s="3">
        <v>20.71</v>
      </c>
      <c r="D89" s="25">
        <f>(((Módulo1[[#Totals],[Valor]]+ResumoMódulo2[[#Totals],[Valor]]+Módulo3[[#Totals],[Valor]])/30)*C89)/12</f>
        <v>115.043720096092</v>
      </c>
    </row>
    <row r="90" spans="1:4">
      <c r="A90" s="3" t="s">
        <v>45</v>
      </c>
      <c r="B90" t="s">
        <v>133</v>
      </c>
      <c r="C90" s="3">
        <v>1.4181</v>
      </c>
      <c r="D90" s="25">
        <f>(((Módulo1[[#Totals],[Valor]]+ResumoMódulo2[[#Totals],[Valor]]+Módulo3[[#Totals],[Valor]])/30)*C90)/12</f>
        <v>7.87752291010468</v>
      </c>
    </row>
    <row r="91" spans="1:4">
      <c r="A91" s="3" t="s">
        <v>48</v>
      </c>
      <c r="B91" t="s">
        <v>134</v>
      </c>
      <c r="C91" s="3">
        <v>0.1898</v>
      </c>
      <c r="D91" s="25">
        <f>(((Módulo1[[#Totals],[Valor]]+ResumoMódulo2[[#Totals],[Valor]]+Módulo3[[#Totals],[Valor]])/30)*C91)/12</f>
        <v>1.05433597654458</v>
      </c>
    </row>
    <row r="92" spans="1:4">
      <c r="A92" s="3" t="s">
        <v>50</v>
      </c>
      <c r="B92" t="s">
        <v>135</v>
      </c>
      <c r="C92" s="3">
        <v>0.9545</v>
      </c>
      <c r="D92" s="25">
        <f>(((Módulo1[[#Totals],[Valor]]+ResumoMódulo2[[#Totals],[Valor]]+Módulo3[[#Totals],[Valor]])/30)*C92)/12</f>
        <v>5.3022322951096</v>
      </c>
    </row>
    <row r="93" spans="1:4">
      <c r="A93" s="3" t="s">
        <v>53</v>
      </c>
      <c r="B93" t="s">
        <v>136</v>
      </c>
      <c r="C93" s="3">
        <v>2.4723</v>
      </c>
      <c r="D93" s="25">
        <f>(((Módulo1[[#Totals],[Valor]]+ResumoMódulo2[[#Totals],[Valor]]+Módulo3[[#Totals],[Valor]])/30)*C93)/12</f>
        <v>13.7335871170241</v>
      </c>
    </row>
    <row r="94" spans="1:4">
      <c r="A94" s="3" t="s">
        <v>55</v>
      </c>
      <c r="B94" t="s">
        <v>137</v>
      </c>
      <c r="C94" s="3">
        <v>3.4521</v>
      </c>
      <c r="D94" s="25">
        <f>(((Módulo1[[#Totals],[Valor]]+ResumoMódulo2[[#Totals],[Valor]]+Módulo3[[#Totals],[Valor]])/30)*C94)/12</f>
        <v>19.1763605091125</v>
      </c>
    </row>
    <row r="95" spans="1:4">
      <c r="A95" s="3" t="s">
        <v>58</v>
      </c>
      <c r="C95" s="3">
        <f>SUBTOTAL(109,Submódulo4.1[Dias de ausência])</f>
        <v>29.1968</v>
      </c>
      <c r="D95" s="25">
        <f>SUBTOTAL(109,Submódulo4.1[Valor])</f>
        <v>162.187758903987</v>
      </c>
    </row>
    <row r="96" spans="1:4">
      <c r="A96" s="3"/>
      <c r="C96" s="3"/>
      <c r="D96" s="25"/>
    </row>
    <row r="97" spans="1:4">
      <c r="A97" s="111" t="s">
        <v>138</v>
      </c>
      <c r="B97" s="111"/>
      <c r="C97" s="111"/>
      <c r="D97" s="111"/>
    </row>
    <row r="98" spans="1:4">
      <c r="A98" s="111" t="s">
        <v>16</v>
      </c>
      <c r="B98" s="111" t="s">
        <v>70</v>
      </c>
      <c r="C98" s="111" t="s">
        <v>71</v>
      </c>
      <c r="D98" s="111" t="s">
        <v>72</v>
      </c>
    </row>
    <row r="99" spans="1:4">
      <c r="A99" s="9" t="s">
        <v>139</v>
      </c>
      <c r="B99" s="113" t="s">
        <v>140</v>
      </c>
      <c r="C99" s="21"/>
      <c r="D99" s="21"/>
    </row>
    <row r="100" ht="45" spans="1:4">
      <c r="A100" s="9" t="s">
        <v>139</v>
      </c>
      <c r="B100" s="114" t="s">
        <v>141</v>
      </c>
      <c r="C100" s="21" t="s">
        <v>142</v>
      </c>
      <c r="D100" s="21" t="s">
        <v>143</v>
      </c>
    </row>
    <row r="101" spans="1:4">
      <c r="A101" s="3"/>
      <c r="C101" s="3"/>
      <c r="D101" s="25"/>
    </row>
    <row r="102" spans="1:4">
      <c r="A102" s="1" t="s">
        <v>144</v>
      </c>
      <c r="B102" s="1"/>
      <c r="C102" s="1"/>
      <c r="D102" s="1"/>
    </row>
    <row r="103" spans="1:4">
      <c r="A103" s="3" t="s">
        <v>145</v>
      </c>
      <c r="B103" t="s">
        <v>146</v>
      </c>
      <c r="C103" s="3" t="s">
        <v>18</v>
      </c>
      <c r="D103" s="3" t="s">
        <v>19</v>
      </c>
    </row>
    <row r="104" spans="1:4">
      <c r="A104" s="3" t="s">
        <v>42</v>
      </c>
      <c r="B104" t="s">
        <v>147</v>
      </c>
      <c r="C104" s="3"/>
      <c r="D104" s="25"/>
    </row>
    <row r="105" spans="1:4">
      <c r="A105" s="3" t="s">
        <v>58</v>
      </c>
      <c r="C105" s="3"/>
      <c r="D105" s="25">
        <f>SUBTOTAL(109,Submódulo4.2[Valor])</f>
        <v>0</v>
      </c>
    </row>
    <row r="107" spans="1:4">
      <c r="A107" s="83" t="s">
        <v>148</v>
      </c>
      <c r="B107" s="83"/>
      <c r="C107" s="83"/>
      <c r="D107" s="83"/>
    </row>
    <row r="108" spans="1:4">
      <c r="A108" s="3" t="s">
        <v>149</v>
      </c>
      <c r="B108" t="s">
        <v>150</v>
      </c>
      <c r="C108" s="3" t="s">
        <v>18</v>
      </c>
      <c r="D108" s="3" t="s">
        <v>19</v>
      </c>
    </row>
    <row r="109" spans="1:4">
      <c r="A109" s="3" t="s">
        <v>129</v>
      </c>
      <c r="B109" t="s">
        <v>130</v>
      </c>
      <c r="D109" s="25">
        <f>Submódulo4.1[[#Totals],[Valor]]</f>
        <v>162.187758903987</v>
      </c>
    </row>
    <row r="110" spans="1:4">
      <c r="A110" s="3" t="s">
        <v>145</v>
      </c>
      <c r="B110" t="s">
        <v>151</v>
      </c>
      <c r="D110" s="25">
        <f>Submódulo4.2[[#Totals],[Valor]]</f>
        <v>0</v>
      </c>
    </row>
    <row r="111" spans="1:4">
      <c r="A111" s="3" t="s">
        <v>58</v>
      </c>
      <c r="D111" s="25">
        <f>SUBTOTAL(109,ResumoMódulo4[Valor])</f>
        <v>162.187758903987</v>
      </c>
    </row>
    <row r="113" spans="1:4">
      <c r="A113" s="41" t="s">
        <v>152</v>
      </c>
      <c r="B113" s="41"/>
      <c r="C113" s="41"/>
      <c r="D113" s="41"/>
    </row>
    <row r="114" spans="1:4">
      <c r="A114" s="3" t="s">
        <v>153</v>
      </c>
      <c r="B114" t="s">
        <v>154</v>
      </c>
      <c r="C114" s="3" t="s">
        <v>18</v>
      </c>
      <c r="D114" s="3" t="s">
        <v>19</v>
      </c>
    </row>
    <row r="115" spans="1:4">
      <c r="A115" s="3" t="s">
        <v>42</v>
      </c>
      <c r="B115" t="s">
        <v>155</v>
      </c>
      <c r="D115" s="25">
        <f>Table43[[#Totals],[Valor Mensal/ Empregado]]</f>
        <v>0</v>
      </c>
    </row>
    <row r="116" spans="1:4">
      <c r="A116" s="3" t="s">
        <v>45</v>
      </c>
      <c r="B116" t="s">
        <v>156</v>
      </c>
      <c r="D116" s="25" t="e">
        <f>#REF!/#REF!</f>
        <v>#REF!</v>
      </c>
    </row>
    <row r="117" spans="1:4">
      <c r="A117" s="3" t="s">
        <v>48</v>
      </c>
      <c r="B117" t="s">
        <v>157</v>
      </c>
      <c r="D117" s="25" t="e">
        <f>Equipamentos!F13/#REF!</f>
        <v>#REF!</v>
      </c>
    </row>
    <row r="118" spans="1:4">
      <c r="A118" s="3" t="s">
        <v>50</v>
      </c>
      <c r="B118" t="s">
        <v>158</v>
      </c>
      <c r="D118" s="25"/>
    </row>
    <row r="119" spans="1:4">
      <c r="A119" s="3" t="s">
        <v>58</v>
      </c>
      <c r="D119" s="25" t="e">
        <f>SUBTOTAL(109,Módulo5[Valor])</f>
        <v>#REF!</v>
      </c>
    </row>
    <row r="120" spans="1:4">
      <c r="A120" s="3"/>
      <c r="D120" s="25"/>
    </row>
    <row r="121" spans="1:4">
      <c r="A121" s="111" t="s">
        <v>159</v>
      </c>
      <c r="B121" s="111"/>
      <c r="C121" s="111"/>
      <c r="D121" s="111"/>
    </row>
    <row r="122" spans="1:4">
      <c r="A122" s="111" t="s">
        <v>16</v>
      </c>
      <c r="B122" s="111" t="s">
        <v>70</v>
      </c>
      <c r="C122" s="111" t="s">
        <v>71</v>
      </c>
      <c r="D122" s="111" t="s">
        <v>72</v>
      </c>
    </row>
    <row r="123" spans="1:4">
      <c r="A123" s="9" t="s">
        <v>42</v>
      </c>
      <c r="B123" s="113" t="s">
        <v>155</v>
      </c>
      <c r="C123" s="21" t="s">
        <v>160</v>
      </c>
      <c r="D123" s="21"/>
    </row>
    <row r="124" ht="30" spans="1:4">
      <c r="A124" s="9" t="s">
        <v>45</v>
      </c>
      <c r="B124" s="114" t="s">
        <v>156</v>
      </c>
      <c r="C124" s="21" t="s">
        <v>161</v>
      </c>
      <c r="D124" s="21" t="s">
        <v>162</v>
      </c>
    </row>
    <row r="125" ht="30" spans="1:4">
      <c r="A125" s="9" t="s">
        <v>48</v>
      </c>
      <c r="B125" s="114" t="s">
        <v>157</v>
      </c>
      <c r="C125" s="21" t="s">
        <v>163</v>
      </c>
      <c r="D125" s="21" t="s">
        <v>162</v>
      </c>
    </row>
    <row r="126" spans="1:4">
      <c r="A126" s="9" t="s">
        <v>50</v>
      </c>
      <c r="B126" s="114" t="s">
        <v>158</v>
      </c>
      <c r="C126" s="21"/>
      <c r="D126" s="21"/>
    </row>
    <row r="128" spans="1:4">
      <c r="A128" s="41" t="s">
        <v>164</v>
      </c>
      <c r="B128" s="41"/>
      <c r="C128" s="41"/>
      <c r="D128" s="41"/>
    </row>
    <row r="129" outlineLevel="1" spans="1:4">
      <c r="A129" s="3" t="s">
        <v>165</v>
      </c>
      <c r="B129" t="s">
        <v>166</v>
      </c>
      <c r="C129" s="3" t="s">
        <v>38</v>
      </c>
      <c r="D129" s="3" t="s">
        <v>19</v>
      </c>
    </row>
    <row r="130" outlineLevel="1" spans="1:4">
      <c r="A130" s="3" t="s">
        <v>42</v>
      </c>
      <c r="B130" t="s">
        <v>167</v>
      </c>
      <c r="C130" s="70">
        <f>G16</f>
        <v>0.0471</v>
      </c>
      <c r="D130" s="25" t="e">
        <f>Módulo6[[#This Row],[Percentual]]*(D141+D142+D143+D144+D145)</f>
        <v>#REF!</v>
      </c>
    </row>
    <row r="131" outlineLevel="1" spans="1:4">
      <c r="A131" s="3" t="s">
        <v>45</v>
      </c>
      <c r="B131" t="s">
        <v>59</v>
      </c>
      <c r="C131" s="70">
        <f>G17</f>
        <v>0.0467</v>
      </c>
      <c r="D131" s="25" t="e">
        <f>(SUM(D141:D145)+D130)*Módulo6[[#This Row],[Percentual]]</f>
        <v>#REF!</v>
      </c>
    </row>
    <row r="132" spans="1:4">
      <c r="A132" s="3" t="s">
        <v>48</v>
      </c>
      <c r="B132" t="s">
        <v>168</v>
      </c>
      <c r="C132" s="70">
        <f>SUM(C133:C135)</f>
        <v>0.1425</v>
      </c>
      <c r="D132" s="25" t="e">
        <f>Módulo6[[#This Row],[Percentual]]*D148</f>
        <v>#REF!</v>
      </c>
    </row>
    <row r="133" spans="1:4">
      <c r="A133" s="3" t="s">
        <v>169</v>
      </c>
      <c r="B133" t="s">
        <v>60</v>
      </c>
      <c r="C133" s="70">
        <f>G18</f>
        <v>0.0165</v>
      </c>
      <c r="D133" s="25" t="e">
        <f>Módulo6[[#This Row],[Percentual]]*D148</f>
        <v>#REF!</v>
      </c>
    </row>
    <row r="134" spans="1:4">
      <c r="A134" s="3" t="s">
        <v>170</v>
      </c>
      <c r="B134" t="s">
        <v>62</v>
      </c>
      <c r="C134" s="70">
        <f>G19</f>
        <v>0.076</v>
      </c>
      <c r="D134" s="25" t="e">
        <f>Módulo6[[#This Row],[Percentual]]*D148</f>
        <v>#REF!</v>
      </c>
    </row>
    <row r="135" spans="1:4">
      <c r="A135" s="3" t="s">
        <v>171</v>
      </c>
      <c r="B135" t="s">
        <v>64</v>
      </c>
      <c r="C135" s="70">
        <f>G20</f>
        <v>0.05</v>
      </c>
      <c r="D135" s="25" t="e">
        <f>Módulo6[[#This Row],[Percentual]]*D148</f>
        <v>#REF!</v>
      </c>
    </row>
    <row r="136" spans="1:4">
      <c r="A136" s="3" t="s">
        <v>58</v>
      </c>
      <c r="C136" s="97"/>
      <c r="D136" s="25" t="e">
        <f>SUM(D130:D132)</f>
        <v>#REF!</v>
      </c>
    </row>
    <row r="137" spans="1:4">
      <c r="A137" s="3"/>
      <c r="C137" s="97"/>
      <c r="D137" s="25"/>
    </row>
    <row r="139" spans="1:4">
      <c r="A139" s="41" t="s">
        <v>172</v>
      </c>
      <c r="B139" s="41"/>
      <c r="C139" s="41"/>
      <c r="D139" s="41"/>
    </row>
    <row r="140" spans="1:4">
      <c r="A140" s="3" t="s">
        <v>16</v>
      </c>
      <c r="B140" s="3" t="s">
        <v>173</v>
      </c>
      <c r="C140" s="3" t="s">
        <v>102</v>
      </c>
      <c r="D140" s="3" t="s">
        <v>19</v>
      </c>
    </row>
    <row r="141" spans="1:4">
      <c r="A141" s="3" t="s">
        <v>42</v>
      </c>
      <c r="B141" t="s">
        <v>36</v>
      </c>
      <c r="D141" s="25">
        <f>Módulo1[[#Totals],[Valor]]</f>
        <v>998</v>
      </c>
    </row>
    <row r="142" spans="1:4">
      <c r="A142" s="3" t="s">
        <v>45</v>
      </c>
      <c r="B142" t="s">
        <v>61</v>
      </c>
      <c r="D142" s="25">
        <f>ResumoMódulo2[[#Totals],[Valor]]</f>
        <v>843.932</v>
      </c>
    </row>
    <row r="143" spans="1:4">
      <c r="A143" s="3" t="s">
        <v>48</v>
      </c>
      <c r="B143" t="s">
        <v>108</v>
      </c>
      <c r="D143" s="25">
        <f>Módulo3[[#Totals],[Valor]]</f>
        <v>157.862265311111</v>
      </c>
    </row>
    <row r="144" spans="1:4">
      <c r="A144" s="3" t="s">
        <v>50</v>
      </c>
      <c r="B144" t="s">
        <v>174</v>
      </c>
      <c r="D144" s="25">
        <f>ResumoMódulo4[[#Totals],[Valor]]</f>
        <v>162.187758903987</v>
      </c>
    </row>
    <row r="145" spans="1:4">
      <c r="A145" s="3" t="s">
        <v>53</v>
      </c>
      <c r="B145" t="s">
        <v>152</v>
      </c>
      <c r="D145" s="25" t="e">
        <f>Módulo5[[#Totals],[Valor]]</f>
        <v>#REF!</v>
      </c>
    </row>
    <row r="146" spans="1:4">
      <c r="A146" t="s">
        <v>175</v>
      </c>
      <c r="D146" s="25" t="e">
        <f>SUM(D141:D145)</f>
        <v>#REF!</v>
      </c>
    </row>
    <row r="147" spans="1:4">
      <c r="A147" s="3" t="s">
        <v>55</v>
      </c>
      <c r="B147" t="s">
        <v>164</v>
      </c>
      <c r="D147" s="25" t="e">
        <f>Módulo6[[#Totals],[Valor]]</f>
        <v>#REF!</v>
      </c>
    </row>
    <row r="148" spans="1:4">
      <c r="A148" s="99" t="s">
        <v>176</v>
      </c>
      <c r="B148" s="99"/>
      <c r="C148" s="99"/>
      <c r="D148" s="115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3" footer="0.3"/>
  <pageSetup paperSize="9" scale="43" fitToHeight="0" orientation="portrait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U146"/>
  <sheetViews>
    <sheetView showGridLines="0" zoomScale="115" zoomScaleNormal="115" topLeftCell="A130" workbookViewId="0">
      <selection activeCell="C128" sqref="C128"/>
    </sheetView>
  </sheetViews>
  <sheetFormatPr defaultColWidth="9" defaultRowHeight="15"/>
  <cols>
    <col min="1" max="1" width="12.4285714285714" customWidth="1"/>
    <col min="2" max="2" width="50.4285714285714" customWidth="1"/>
    <col min="3" max="3" width="28.4285714285714" customWidth="1"/>
    <col min="4" max="4" width="37.5714285714286" customWidth="1"/>
    <col min="6" max="6" width="21.1428571428571" customWidth="1"/>
    <col min="7" max="7" width="13" customWidth="1"/>
    <col min="9" max="9" width="29.2857142857143" customWidth="1"/>
    <col min="10" max="10" width="9.57142857142857" customWidth="1"/>
  </cols>
  <sheetData>
    <row r="2" ht="19.5" spans="1:4">
      <c r="A2" s="31" t="s">
        <v>177</v>
      </c>
      <c r="B2" s="32"/>
      <c r="C2" s="32"/>
      <c r="D2" s="33"/>
    </row>
    <row r="3" ht="15.75" spans="1:4">
      <c r="A3" s="34" t="s">
        <v>178</v>
      </c>
      <c r="B3" s="35"/>
      <c r="C3" s="35"/>
      <c r="D3" s="35"/>
    </row>
    <row r="4" spans="1:4">
      <c r="A4" s="36" t="s">
        <v>179</v>
      </c>
      <c r="B4" s="37" t="s">
        <v>180</v>
      </c>
      <c r="C4" s="38"/>
      <c r="D4" s="38"/>
    </row>
    <row r="5" ht="6" customHeight="1" spans="1:4">
      <c r="A5" s="39"/>
      <c r="B5" s="40"/>
      <c r="C5" s="40"/>
      <c r="D5" s="40"/>
    </row>
    <row r="6" ht="15.75" spans="1:4">
      <c r="A6" s="41" t="s">
        <v>181</v>
      </c>
      <c r="B6" s="41"/>
      <c r="C6" s="41"/>
      <c r="D6" s="41"/>
    </row>
    <row r="7" ht="15.75" spans="1:4">
      <c r="A7" s="42" t="s">
        <v>42</v>
      </c>
      <c r="B7" s="43" t="s">
        <v>182</v>
      </c>
      <c r="C7" s="44" t="s">
        <v>183</v>
      </c>
      <c r="D7" s="45"/>
    </row>
    <row r="8" spans="1:4">
      <c r="A8" s="46" t="s">
        <v>45</v>
      </c>
      <c r="B8" s="47" t="s">
        <v>184</v>
      </c>
      <c r="C8" s="48" t="s">
        <v>185</v>
      </c>
      <c r="D8" s="49"/>
    </row>
    <row r="9" spans="1:4">
      <c r="A9" s="50" t="s">
        <v>48</v>
      </c>
      <c r="B9" s="51" t="s">
        <v>186</v>
      </c>
      <c r="C9" s="52"/>
      <c r="D9" s="53"/>
    </row>
    <row r="10" spans="1:4">
      <c r="A10" s="46" t="s">
        <v>53</v>
      </c>
      <c r="B10" s="47" t="s">
        <v>187</v>
      </c>
      <c r="C10" s="48" t="s">
        <v>188</v>
      </c>
      <c r="D10" s="49"/>
    </row>
    <row r="11" ht="15.75" spans="1:4">
      <c r="A11" s="54" t="s">
        <v>189</v>
      </c>
      <c r="B11" s="55"/>
      <c r="C11" s="55"/>
      <c r="D11" s="56"/>
    </row>
    <row r="12" ht="16.5" spans="1:4">
      <c r="A12" s="57" t="s">
        <v>190</v>
      </c>
      <c r="B12" s="56"/>
      <c r="C12" s="58" t="s">
        <v>191</v>
      </c>
      <c r="D12" s="54" t="s">
        <v>192</v>
      </c>
    </row>
    <row r="13" ht="15.75" spans="1:4">
      <c r="A13" s="59" t="s">
        <v>193</v>
      </c>
      <c r="B13" s="50"/>
      <c r="C13" s="60" t="s">
        <v>194</v>
      </c>
      <c r="D13" s="61">
        <v>1</v>
      </c>
    </row>
    <row r="14" spans="1:4">
      <c r="A14" s="62"/>
      <c r="B14" s="46"/>
      <c r="C14" s="60"/>
      <c r="D14" s="63"/>
    </row>
    <row r="15" ht="15.75" spans="1:21">
      <c r="A15" s="54" t="s">
        <v>14</v>
      </c>
      <c r="B15" s="55"/>
      <c r="C15" s="55"/>
      <c r="D15" s="56"/>
      <c r="F15" s="1"/>
      <c r="G15" s="1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ht="15.75" spans="1:21">
      <c r="A16" s="3" t="s">
        <v>16</v>
      </c>
      <c r="B16" t="s">
        <v>17</v>
      </c>
      <c r="C16" s="3" t="s">
        <v>18</v>
      </c>
      <c r="D16" s="3" t="s">
        <v>19</v>
      </c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</row>
    <row r="17" spans="1:21">
      <c r="A17" s="3">
        <v>1</v>
      </c>
      <c r="B17" t="s">
        <v>20</v>
      </c>
      <c r="C17" s="65" t="s">
        <v>102</v>
      </c>
      <c r="D17" s="65" t="str">
        <f>A13</f>
        <v>Vigilância e Segurança Patrimonial</v>
      </c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</row>
    <row r="18" spans="1:21">
      <c r="A18" s="3">
        <v>2</v>
      </c>
      <c r="B18" t="s">
        <v>23</v>
      </c>
      <c r="C18" s="65" t="s">
        <v>195</v>
      </c>
      <c r="D18" s="65" t="s">
        <v>196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</row>
    <row r="19" spans="1:21">
      <c r="A19" s="3">
        <v>3</v>
      </c>
      <c r="B19" t="s">
        <v>26</v>
      </c>
      <c r="C19" s="65">
        <f>C9</f>
        <v>0</v>
      </c>
      <c r="D19" s="66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</row>
    <row r="20" spans="1:21">
      <c r="A20" s="3">
        <v>4</v>
      </c>
      <c r="B20" t="s">
        <v>29</v>
      </c>
      <c r="C20" s="65">
        <f>C9</f>
        <v>0</v>
      </c>
      <c r="D20" s="65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</row>
    <row r="21" spans="1:21">
      <c r="A21" s="3">
        <v>5</v>
      </c>
      <c r="B21" t="s">
        <v>33</v>
      </c>
      <c r="C21" s="65">
        <f>C9</f>
        <v>0</v>
      </c>
      <c r="D21" s="67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</row>
    <row r="22" spans="6:21">
      <c r="F22" s="1"/>
      <c r="G22" s="1"/>
      <c r="H22" s="64"/>
      <c r="I22" s="1"/>
      <c r="J22" s="1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</row>
    <row r="23" spans="1:21">
      <c r="A23" s="41" t="s">
        <v>36</v>
      </c>
      <c r="B23" s="41"/>
      <c r="C23" s="41"/>
      <c r="D23" s="41"/>
      <c r="H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</row>
    <row r="24" spans="1:21">
      <c r="A24" s="3" t="s">
        <v>39</v>
      </c>
      <c r="B24" t="s">
        <v>40</v>
      </c>
      <c r="C24" s="3" t="s">
        <v>18</v>
      </c>
      <c r="D24" s="3" t="s">
        <v>19</v>
      </c>
      <c r="G24" s="68"/>
      <c r="H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</row>
    <row r="25" spans="1:21">
      <c r="A25" s="3" t="s">
        <v>42</v>
      </c>
      <c r="B25" t="s">
        <v>43</v>
      </c>
      <c r="C25" s="65"/>
      <c r="D25" s="66">
        <v>0</v>
      </c>
      <c r="G25" s="68"/>
      <c r="H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</row>
    <row r="26" spans="1:21">
      <c r="A26" s="3" t="s">
        <v>45</v>
      </c>
      <c r="B26" t="s">
        <v>46</v>
      </c>
      <c r="C26" s="65">
        <f>C9</f>
        <v>0</v>
      </c>
      <c r="D26" s="66">
        <v>0</v>
      </c>
      <c r="G26" s="68"/>
      <c r="H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</row>
    <row r="27" spans="1:21">
      <c r="A27" s="3" t="s">
        <v>48</v>
      </c>
      <c r="B27" t="s">
        <v>49</v>
      </c>
      <c r="C27" s="65"/>
      <c r="D27" s="66">
        <v>0</v>
      </c>
      <c r="H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</row>
    <row r="28" spans="1:21">
      <c r="A28" s="3" t="s">
        <v>50</v>
      </c>
      <c r="B28" t="s">
        <v>51</v>
      </c>
      <c r="C28" s="65"/>
      <c r="D28" s="66">
        <f>TRUNC(((8*(365/12))*(((D25+D26)/220)*20%)/2),2)</f>
        <v>0</v>
      </c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</row>
    <row r="29" spans="1:21">
      <c r="A29" s="3" t="s">
        <v>53</v>
      </c>
      <c r="B29" t="s">
        <v>54</v>
      </c>
      <c r="C29" s="65"/>
      <c r="D29" s="66">
        <f>TRUNC(((1*(365/12))*(((D25+D26)/220))/2),2)</f>
        <v>0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</row>
    <row r="30" spans="1:21">
      <c r="A30" s="3" t="s">
        <v>55</v>
      </c>
      <c r="B30" t="s">
        <v>56</v>
      </c>
      <c r="C30" s="65"/>
      <c r="D30" s="66">
        <v>0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</row>
    <row r="31" spans="1:21">
      <c r="A31" s="3" t="s">
        <v>58</v>
      </c>
      <c r="C31" s="3"/>
      <c r="D31" s="25">
        <f>TRUNC((SUM(D25:D30)),2)</f>
        <v>0</v>
      </c>
      <c r="F31" s="1"/>
      <c r="G31" s="1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</row>
    <row r="32" spans="8:21"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</row>
    <row r="33" spans="1:21">
      <c r="A33" s="69" t="s">
        <v>61</v>
      </c>
      <c r="B33" s="69"/>
      <c r="C33" s="69"/>
      <c r="D33" s="69"/>
      <c r="G33" s="68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</row>
    <row r="34" spans="8:21"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</row>
    <row r="35" spans="1:21">
      <c r="A35" s="1" t="s">
        <v>63</v>
      </c>
      <c r="B35" s="1"/>
      <c r="C35" s="1"/>
      <c r="D35" s="1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</row>
    <row r="36" spans="1:21">
      <c r="A36" s="3" t="s">
        <v>65</v>
      </c>
      <c r="B36" t="s">
        <v>66</v>
      </c>
      <c r="C36" s="3" t="s">
        <v>38</v>
      </c>
      <c r="D36" s="3" t="s">
        <v>19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</row>
    <row r="37" spans="1:21">
      <c r="A37" s="3" t="s">
        <v>42</v>
      </c>
      <c r="B37" t="s">
        <v>67</v>
      </c>
      <c r="C37" s="70">
        <f>(1/12)</f>
        <v>0.0833333333333333</v>
      </c>
      <c r="D37" s="25">
        <v>0</v>
      </c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>
      <c r="A38" s="3" t="s">
        <v>45</v>
      </c>
      <c r="B38" t="s">
        <v>68</v>
      </c>
      <c r="C38" s="70">
        <f>(((1+1/3)/12))</f>
        <v>0.111111111111111</v>
      </c>
      <c r="D38" s="25">
        <f>TRUNC($D$31*C38,2)</f>
        <v>0</v>
      </c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>
      <c r="A39" s="3" t="s">
        <v>58</v>
      </c>
      <c r="D39" s="25">
        <f>TRUNC((SUM(D37:D38)),2)</f>
        <v>0</v>
      </c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</row>
    <row r="40" ht="15.75" spans="4:21">
      <c r="D40" s="25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</row>
    <row r="41" ht="16.5" spans="1:21">
      <c r="A41" s="71" t="s">
        <v>197</v>
      </c>
      <c r="B41" s="71"/>
      <c r="C41" s="72" t="s">
        <v>198</v>
      </c>
      <c r="D41" s="73">
        <f>D31</f>
        <v>0</v>
      </c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</row>
    <row r="42" ht="16.5" spans="1:21">
      <c r="A42" s="71"/>
      <c r="B42" s="71"/>
      <c r="C42" s="74" t="s">
        <v>199</v>
      </c>
      <c r="D42" s="73">
        <f>D39</f>
        <v>0</v>
      </c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</row>
    <row r="43" ht="16.5" spans="1:21">
      <c r="A43" s="71"/>
      <c r="B43" s="71"/>
      <c r="C43" s="72" t="s">
        <v>200</v>
      </c>
      <c r="D43" s="75">
        <f>TRUNC((SUM(D41:D42)),2)</f>
        <v>0</v>
      </c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</row>
    <row r="44" ht="15.75" spans="1:21">
      <c r="A44" s="3"/>
      <c r="C44" s="76"/>
      <c r="D44" s="25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</row>
    <row r="45" spans="1:4">
      <c r="A45" s="1" t="s">
        <v>77</v>
      </c>
      <c r="B45" s="1"/>
      <c r="C45" s="1"/>
      <c r="D45" s="1"/>
    </row>
    <row r="46" spans="1:4">
      <c r="A46" s="3" t="s">
        <v>78</v>
      </c>
      <c r="B46" t="s">
        <v>79</v>
      </c>
      <c r="C46" s="3" t="s">
        <v>38</v>
      </c>
      <c r="D46" s="3" t="s">
        <v>80</v>
      </c>
    </row>
    <row r="47" spans="1:4">
      <c r="A47" s="3" t="s">
        <v>42</v>
      </c>
      <c r="B47" t="s">
        <v>81</v>
      </c>
      <c r="C47" s="70">
        <v>0.2</v>
      </c>
      <c r="D47" s="25">
        <f t="shared" ref="D47:D54" si="0">TRUNC(($D$43*C47),2)</f>
        <v>0</v>
      </c>
    </row>
    <row r="48" spans="1:4">
      <c r="A48" s="3" t="s">
        <v>45</v>
      </c>
      <c r="B48" t="s">
        <v>82</v>
      </c>
      <c r="C48" s="70">
        <v>0.025</v>
      </c>
      <c r="D48" s="25">
        <f t="shared" si="0"/>
        <v>0</v>
      </c>
    </row>
    <row r="49" spans="1:4">
      <c r="A49" s="3" t="s">
        <v>48</v>
      </c>
      <c r="B49" t="s">
        <v>201</v>
      </c>
      <c r="C49" s="77">
        <v>0.06</v>
      </c>
      <c r="D49" s="66">
        <f t="shared" si="0"/>
        <v>0</v>
      </c>
    </row>
    <row r="50" spans="1:4">
      <c r="A50" s="3" t="s">
        <v>50</v>
      </c>
      <c r="B50" t="s">
        <v>84</v>
      </c>
      <c r="C50" s="70">
        <v>0.015</v>
      </c>
      <c r="D50" s="25">
        <f t="shared" si="0"/>
        <v>0</v>
      </c>
    </row>
    <row r="51" spans="1:4">
      <c r="A51" s="3" t="s">
        <v>53</v>
      </c>
      <c r="B51" t="s">
        <v>85</v>
      </c>
      <c r="C51" s="70">
        <v>0.01</v>
      </c>
      <c r="D51" s="25">
        <f t="shared" si="0"/>
        <v>0</v>
      </c>
    </row>
    <row r="52" spans="1:4">
      <c r="A52" s="3" t="s">
        <v>55</v>
      </c>
      <c r="B52" t="s">
        <v>86</v>
      </c>
      <c r="C52" s="70">
        <v>0.006</v>
      </c>
      <c r="D52" s="25">
        <f t="shared" si="0"/>
        <v>0</v>
      </c>
    </row>
    <row r="53" spans="1:4">
      <c r="A53" s="3" t="s">
        <v>87</v>
      </c>
      <c r="B53" t="s">
        <v>88</v>
      </c>
      <c r="C53" s="70">
        <v>0.002</v>
      </c>
      <c r="D53" s="25">
        <f t="shared" si="0"/>
        <v>0</v>
      </c>
    </row>
    <row r="54" spans="1:4">
      <c r="A54" s="3" t="s">
        <v>89</v>
      </c>
      <c r="B54" t="s">
        <v>90</v>
      </c>
      <c r="C54" s="70">
        <v>0.08</v>
      </c>
      <c r="D54" s="25">
        <f t="shared" si="0"/>
        <v>0</v>
      </c>
    </row>
    <row r="55" spans="1:4">
      <c r="A55" s="3" t="s">
        <v>58</v>
      </c>
      <c r="C55" s="76">
        <f>SUM(C47:C54)</f>
        <v>0.398</v>
      </c>
      <c r="D55" s="25">
        <f>TRUNC((SUM(D47:D54)),2)</f>
        <v>0</v>
      </c>
    </row>
    <row r="56" spans="1:4">
      <c r="A56" s="3"/>
      <c r="C56" s="76"/>
      <c r="D56" s="25"/>
    </row>
    <row r="57" spans="1:4">
      <c r="A57" s="1" t="s">
        <v>95</v>
      </c>
      <c r="B57" s="1"/>
      <c r="C57" s="1"/>
      <c r="D57" s="1"/>
    </row>
    <row r="58" spans="1:4">
      <c r="A58" s="3" t="s">
        <v>96</v>
      </c>
      <c r="B58" t="s">
        <v>97</v>
      </c>
      <c r="C58" s="3" t="s">
        <v>18</v>
      </c>
      <c r="D58" s="3" t="s">
        <v>19</v>
      </c>
    </row>
    <row r="59" spans="1:4">
      <c r="A59" s="3" t="s">
        <v>42</v>
      </c>
      <c r="B59" t="s">
        <v>98</v>
      </c>
      <c r="C59" s="65"/>
      <c r="D59" s="66">
        <v>0</v>
      </c>
    </row>
    <row r="60" spans="1:4">
      <c r="A60" s="3" t="s">
        <v>45</v>
      </c>
      <c r="B60" t="s">
        <v>99</v>
      </c>
      <c r="C60" s="65">
        <f>C9</f>
        <v>0</v>
      </c>
      <c r="D60" s="66">
        <f>TRUNC(((((365/12)*0)/2)-((((365/12)*0)/2)*0.2)),2)</f>
        <v>0</v>
      </c>
    </row>
    <row r="61" spans="1:4">
      <c r="A61" s="3" t="s">
        <v>48</v>
      </c>
      <c r="B61" t="s">
        <v>100</v>
      </c>
      <c r="C61" s="65"/>
      <c r="D61" s="66">
        <v>0</v>
      </c>
    </row>
    <row r="62" spans="1:6">
      <c r="A62" s="9" t="s">
        <v>50</v>
      </c>
      <c r="B62" s="78" t="s">
        <v>202</v>
      </c>
      <c r="C62" s="65"/>
      <c r="D62" s="79">
        <f>TRUNC(((((($D$25+$D$26+$D$28+$D$29)/220)*1.5)*(365/12))/2),2)</f>
        <v>0</v>
      </c>
      <c r="F62" s="78"/>
    </row>
    <row r="63" spans="1:4">
      <c r="A63" s="3" t="s">
        <v>53</v>
      </c>
      <c r="B63" t="s">
        <v>56</v>
      </c>
      <c r="C63" s="65"/>
      <c r="D63" s="66">
        <v>0</v>
      </c>
    </row>
    <row r="64" spans="1:4">
      <c r="A64" s="3" t="s">
        <v>58</v>
      </c>
      <c r="D64" s="25">
        <f>TRUNC((SUM(D59:D63)),2)</f>
        <v>0</v>
      </c>
    </row>
    <row r="65" spans="1:4">
      <c r="A65" s="3"/>
      <c r="D65" s="25"/>
    </row>
    <row r="66" spans="1:4">
      <c r="A66" s="1" t="s">
        <v>105</v>
      </c>
      <c r="B66" s="1"/>
      <c r="C66" s="1"/>
      <c r="D66" s="1"/>
    </row>
    <row r="67" spans="1:4">
      <c r="A67" s="3" t="s">
        <v>106</v>
      </c>
      <c r="B67" t="s">
        <v>107</v>
      </c>
      <c r="C67" s="3" t="s">
        <v>18</v>
      </c>
      <c r="D67" s="3" t="s">
        <v>19</v>
      </c>
    </row>
    <row r="68" spans="1:4">
      <c r="A68" s="3" t="s">
        <v>65</v>
      </c>
      <c r="B68" t="s">
        <v>66</v>
      </c>
      <c r="C68" s="3"/>
      <c r="D68" s="25">
        <f>D39</f>
        <v>0</v>
      </c>
    </row>
    <row r="69" spans="1:4">
      <c r="A69" s="3" t="s">
        <v>78</v>
      </c>
      <c r="B69" t="s">
        <v>79</v>
      </c>
      <c r="C69" s="3"/>
      <c r="D69" s="25">
        <f>D55</f>
        <v>0</v>
      </c>
    </row>
    <row r="70" spans="1:4">
      <c r="A70" s="3" t="s">
        <v>96</v>
      </c>
      <c r="B70" t="s">
        <v>97</v>
      </c>
      <c r="C70" s="3"/>
      <c r="D70" s="25">
        <f>D64</f>
        <v>0</v>
      </c>
    </row>
    <row r="71" spans="1:4">
      <c r="A71" s="3" t="s">
        <v>58</v>
      </c>
      <c r="C71" s="3"/>
      <c r="D71" s="25">
        <f>TRUNC((SUM(D68:D70)),2)</f>
        <v>0</v>
      </c>
    </row>
    <row r="73" spans="1:4">
      <c r="A73" s="41" t="s">
        <v>108</v>
      </c>
      <c r="B73" s="41"/>
      <c r="C73" s="41"/>
      <c r="D73" s="41"/>
    </row>
    <row r="74" spans="1:4">
      <c r="A74" s="3" t="s">
        <v>109</v>
      </c>
      <c r="B74" t="s">
        <v>110</v>
      </c>
      <c r="C74" s="3" t="s">
        <v>38</v>
      </c>
      <c r="D74" s="3" t="s">
        <v>19</v>
      </c>
    </row>
    <row r="75" ht="18" customHeight="1" spans="1:4">
      <c r="A75" s="3" t="s">
        <v>42</v>
      </c>
      <c r="B75" t="s">
        <v>111</v>
      </c>
      <c r="C75" s="77">
        <f>((1/12)*10%)</f>
        <v>0.00833333333333333</v>
      </c>
      <c r="D75" s="66">
        <f>TRUNC(($D$31*C75),2)</f>
        <v>0</v>
      </c>
    </row>
    <row r="76" ht="20.1" customHeight="1" spans="1:4">
      <c r="A76" s="3" t="s">
        <v>45</v>
      </c>
      <c r="B76" t="s">
        <v>112</v>
      </c>
      <c r="C76" s="80">
        <v>0.08</v>
      </c>
      <c r="D76" s="25">
        <f>TRUNC(($D$75*C76),2)</f>
        <v>0</v>
      </c>
    </row>
    <row r="77" ht="30" spans="1:4">
      <c r="A77" s="3" t="s">
        <v>48</v>
      </c>
      <c r="B77" s="11" t="s">
        <v>113</v>
      </c>
      <c r="C77" s="81">
        <f>(0.08*0.5*0.1)</f>
        <v>0.004</v>
      </c>
      <c r="D77" s="79">
        <f>TRUNC(($D$31*C77),2)</f>
        <v>0</v>
      </c>
    </row>
    <row r="78" ht="18" customHeight="1" spans="1:4">
      <c r="A78" s="3" t="s">
        <v>50</v>
      </c>
      <c r="B78" t="s">
        <v>114</v>
      </c>
      <c r="C78" s="80">
        <v>0.0194</v>
      </c>
      <c r="D78" s="25">
        <f>TRUNC(($D$31*C78),2)</f>
        <v>0</v>
      </c>
    </row>
    <row r="79" ht="30" spans="1:4">
      <c r="A79" s="3" t="s">
        <v>53</v>
      </c>
      <c r="B79" s="11" t="s">
        <v>203</v>
      </c>
      <c r="C79" s="81">
        <f>C55</f>
        <v>0.398</v>
      </c>
      <c r="D79" s="79">
        <f>TRUNC(($D$78*C79),2)</f>
        <v>0</v>
      </c>
    </row>
    <row r="80" ht="30" spans="1:4">
      <c r="A80" s="3" t="s">
        <v>55</v>
      </c>
      <c r="B80" s="11" t="s">
        <v>115</v>
      </c>
      <c r="C80" s="81">
        <f>(0.08*0.5*0.9)</f>
        <v>0.036</v>
      </c>
      <c r="D80" s="79">
        <f>TRUNC(($D$31*C80),2)</f>
        <v>0</v>
      </c>
    </row>
    <row r="81" spans="1:4">
      <c r="A81" s="3" t="s">
        <v>58</v>
      </c>
      <c r="C81" s="80">
        <f>SUM(C75:C80)</f>
        <v>0.545733333333333</v>
      </c>
      <c r="D81" s="25">
        <f>TRUNC((SUM(D75:D80)),2)</f>
        <v>0</v>
      </c>
    </row>
    <row r="82" ht="15.75" spans="1:4">
      <c r="A82" s="3"/>
      <c r="D82" s="25"/>
    </row>
    <row r="83" ht="16.5" spans="1:4">
      <c r="A83" s="71" t="s">
        <v>204</v>
      </c>
      <c r="B83" s="71"/>
      <c r="C83" s="72" t="s">
        <v>198</v>
      </c>
      <c r="D83" s="73">
        <f>D31</f>
        <v>0</v>
      </c>
    </row>
    <row r="84" ht="16.5" spans="1:4">
      <c r="A84" s="71"/>
      <c r="B84" s="71"/>
      <c r="C84" s="74" t="s">
        <v>205</v>
      </c>
      <c r="D84" s="73">
        <f>D71</f>
        <v>0</v>
      </c>
    </row>
    <row r="85" ht="16.5" spans="1:4">
      <c r="A85" s="71"/>
      <c r="B85" s="71"/>
      <c r="C85" s="72" t="s">
        <v>206</v>
      </c>
      <c r="D85" s="73">
        <f>D81</f>
        <v>0</v>
      </c>
    </row>
    <row r="86" ht="16.5" spans="1:4">
      <c r="A86" s="71"/>
      <c r="B86" s="71"/>
      <c r="C86" s="74" t="s">
        <v>200</v>
      </c>
      <c r="D86" s="75">
        <f>TRUNC((SUM(D83:D85)),2)</f>
        <v>0</v>
      </c>
    </row>
    <row r="87" ht="15.75" spans="1:4">
      <c r="A87" s="3"/>
      <c r="D87" s="25"/>
    </row>
    <row r="88" spans="1:4">
      <c r="A88" s="82" t="s">
        <v>127</v>
      </c>
      <c r="B88" s="69"/>
      <c r="C88" s="69"/>
      <c r="D88" s="69"/>
    </row>
    <row r="89" spans="1:4">
      <c r="A89" s="83" t="s">
        <v>128</v>
      </c>
      <c r="B89" s="83"/>
      <c r="C89" s="83"/>
      <c r="D89" s="83"/>
    </row>
    <row r="90" spans="1:4">
      <c r="A90" s="3" t="s">
        <v>129</v>
      </c>
      <c r="B90" t="s">
        <v>130</v>
      </c>
      <c r="C90" s="3" t="s">
        <v>38</v>
      </c>
      <c r="D90" s="3" t="s">
        <v>19</v>
      </c>
    </row>
    <row r="91" spans="1:4">
      <c r="A91" s="3" t="s">
        <v>42</v>
      </c>
      <c r="B91" t="s">
        <v>132</v>
      </c>
      <c r="C91" s="80">
        <f>((1+1/3)/12)/12</f>
        <v>0.00925925925925926</v>
      </c>
      <c r="D91" s="25">
        <f>TRUNC(($D$86*C91),2)</f>
        <v>0</v>
      </c>
    </row>
    <row r="92" spans="1:4">
      <c r="A92" s="3" t="s">
        <v>45</v>
      </c>
      <c r="B92" t="s">
        <v>133</v>
      </c>
      <c r="C92" s="77">
        <f>((2/30)/12)</f>
        <v>0.00555555555555556</v>
      </c>
      <c r="D92" s="79">
        <f>TRUNC(($D$86*C92),2)</f>
        <v>0</v>
      </c>
    </row>
    <row r="93" spans="1:4">
      <c r="A93" s="3" t="s">
        <v>48</v>
      </c>
      <c r="B93" t="s">
        <v>134</v>
      </c>
      <c r="C93" s="77">
        <f>((5/30)/12)*0.02</f>
        <v>0.000277777777777778</v>
      </c>
      <c r="D93" s="79">
        <f>TRUNC(($D$86*C93),2)</f>
        <v>0</v>
      </c>
    </row>
    <row r="94" ht="30" spans="1:4">
      <c r="A94" s="9" t="s">
        <v>50</v>
      </c>
      <c r="B94" s="11" t="s">
        <v>135</v>
      </c>
      <c r="C94" s="81">
        <f>((15/30)/12)*0.08</f>
        <v>0.00333333333333333</v>
      </c>
      <c r="D94" s="79">
        <f>TRUNC(($D$86*C94),2)</f>
        <v>0</v>
      </c>
    </row>
    <row r="95" spans="1:4">
      <c r="A95" s="3" t="s">
        <v>53</v>
      </c>
      <c r="B95" t="s">
        <v>136</v>
      </c>
      <c r="C95" s="77">
        <f>((1+1/3)/12)*0.03*((4/12))</f>
        <v>0.00111111111111111</v>
      </c>
      <c r="D95" s="79">
        <f>TRUNC(($D$86*C95),2)</f>
        <v>0</v>
      </c>
    </row>
    <row r="96" ht="17.1" customHeight="1" spans="1:4">
      <c r="A96" s="3" t="s">
        <v>55</v>
      </c>
      <c r="B96" s="11" t="s">
        <v>207</v>
      </c>
      <c r="C96" s="84">
        <v>0</v>
      </c>
      <c r="D96" s="79">
        <f>TRUNC($D$86*C96)</f>
        <v>0</v>
      </c>
    </row>
    <row r="97" spans="1:4">
      <c r="A97" s="3" t="s">
        <v>58</v>
      </c>
      <c r="C97" s="80">
        <f>SUBTOTAL(109,Submódulo4.159[Percentual])</f>
        <v>0.019537037037037</v>
      </c>
      <c r="D97" s="25">
        <f>TRUNC((SUM(D91:D96)),2)</f>
        <v>0</v>
      </c>
    </row>
    <row r="98" spans="1:4">
      <c r="A98" s="3"/>
      <c r="C98" s="3"/>
      <c r="D98" s="25"/>
    </row>
    <row r="99" spans="1:4">
      <c r="A99" s="1" t="s">
        <v>144</v>
      </c>
      <c r="B99" s="1"/>
      <c r="C99" s="1"/>
      <c r="D99" s="1"/>
    </row>
    <row r="100" spans="1:4">
      <c r="A100" s="3" t="s">
        <v>145</v>
      </c>
      <c r="B100" t="s">
        <v>146</v>
      </c>
      <c r="C100" s="3" t="s">
        <v>18</v>
      </c>
      <c r="D100" s="3" t="s">
        <v>19</v>
      </c>
    </row>
    <row r="101" ht="90" spans="1:4">
      <c r="A101" s="9" t="s">
        <v>42</v>
      </c>
      <c r="B101" s="85" t="s">
        <v>147</v>
      </c>
      <c r="C101" s="86" t="s">
        <v>208</v>
      </c>
      <c r="D101" s="87" t="s">
        <v>209</v>
      </c>
    </row>
    <row r="102" spans="1:4">
      <c r="A102" s="3" t="s">
        <v>58</v>
      </c>
      <c r="C102" s="3"/>
      <c r="D102" s="88" t="str">
        <f>D101</f>
        <v>*=TRUNCAR(($D$86/220)*(1*(365/12))/2)</v>
      </c>
    </row>
    <row r="104" spans="1:4">
      <c r="A104" s="83" t="s">
        <v>148</v>
      </c>
      <c r="B104" s="83"/>
      <c r="C104" s="83"/>
      <c r="D104" s="83"/>
    </row>
    <row r="105" spans="1:4">
      <c r="A105" s="3" t="s">
        <v>149</v>
      </c>
      <c r="B105" t="s">
        <v>150</v>
      </c>
      <c r="C105" s="3" t="s">
        <v>18</v>
      </c>
      <c r="D105" s="3" t="s">
        <v>19</v>
      </c>
    </row>
    <row r="106" spans="1:4">
      <c r="A106" s="3" t="s">
        <v>129</v>
      </c>
      <c r="B106" t="s">
        <v>130</v>
      </c>
      <c r="D106" s="66">
        <f>D97</f>
        <v>0</v>
      </c>
    </row>
    <row r="107" spans="1:4">
      <c r="A107" s="3" t="s">
        <v>145</v>
      </c>
      <c r="B107" t="s">
        <v>151</v>
      </c>
      <c r="C107" s="2"/>
      <c r="D107" s="89" t="str">
        <f>Submódulo4.260[[#Totals],[Valor]]</f>
        <v>*=TRUNCAR(($D$86/220)*(1*(365/12))/2)</v>
      </c>
    </row>
    <row r="108" ht="60" spans="1:4">
      <c r="A108" s="9" t="s">
        <v>58</v>
      </c>
      <c r="B108" s="78"/>
      <c r="C108" s="90" t="s">
        <v>210</v>
      </c>
      <c r="D108" s="8">
        <f>TRUNC((SUM(D106:D107)),2)</f>
        <v>0</v>
      </c>
    </row>
    <row r="110" spans="1:4">
      <c r="A110" s="41" t="s">
        <v>152</v>
      </c>
      <c r="B110" s="41"/>
      <c r="C110" s="41"/>
      <c r="D110" s="41"/>
    </row>
    <row r="111" spans="1:4">
      <c r="A111" s="3" t="s">
        <v>153</v>
      </c>
      <c r="B111" t="s">
        <v>154</v>
      </c>
      <c r="C111" s="3" t="s">
        <v>18</v>
      </c>
      <c r="D111" s="3" t="s">
        <v>19</v>
      </c>
    </row>
    <row r="112" spans="1:4">
      <c r="A112" s="3" t="s">
        <v>42</v>
      </c>
      <c r="B112" t="s">
        <v>155</v>
      </c>
      <c r="D112" s="66">
        <f>'Uniformes e Materiais'!G11</f>
        <v>0</v>
      </c>
    </row>
    <row r="113" spans="1:7">
      <c r="A113" s="3" t="s">
        <v>45</v>
      </c>
      <c r="B113" t="s">
        <v>156</v>
      </c>
      <c r="D113" s="66">
        <f>'Uniformes e Materiais'!G18</f>
        <v>0</v>
      </c>
      <c r="G113" s="11"/>
    </row>
    <row r="114" spans="1:7">
      <c r="A114" s="3" t="s">
        <v>48</v>
      </c>
      <c r="B114" t="s">
        <v>157</v>
      </c>
      <c r="D114" s="66">
        <f>Equipamentos!F13</f>
        <v>0</v>
      </c>
      <c r="G114" s="11"/>
    </row>
    <row r="115" spans="1:4">
      <c r="A115" s="3" t="s">
        <v>50</v>
      </c>
      <c r="B115" t="s">
        <v>158</v>
      </c>
      <c r="D115" s="66">
        <v>0</v>
      </c>
    </row>
    <row r="116" spans="1:4">
      <c r="A116" s="3" t="s">
        <v>58</v>
      </c>
      <c r="D116" s="25">
        <f>SUBTOTAL(109,Módulo562[Valor])</f>
        <v>0</v>
      </c>
    </row>
    <row r="117" ht="15.75"/>
    <row r="118" ht="16.5" spans="1:4">
      <c r="A118" s="71" t="s">
        <v>211</v>
      </c>
      <c r="B118" s="71"/>
      <c r="C118" s="72" t="s">
        <v>198</v>
      </c>
      <c r="D118" s="73">
        <f>D31</f>
        <v>0</v>
      </c>
    </row>
    <row r="119" ht="16.5" spans="1:4">
      <c r="A119" s="71"/>
      <c r="B119" s="71"/>
      <c r="C119" s="74" t="s">
        <v>205</v>
      </c>
      <c r="D119" s="73">
        <f>D71</f>
        <v>0</v>
      </c>
    </row>
    <row r="120" ht="16.5" spans="1:4">
      <c r="A120" s="71"/>
      <c r="B120" s="71"/>
      <c r="C120" s="72" t="s">
        <v>206</v>
      </c>
      <c r="D120" s="73">
        <f>D81</f>
        <v>0</v>
      </c>
    </row>
    <row r="121" ht="16.5" spans="1:4">
      <c r="A121" s="71"/>
      <c r="B121" s="71"/>
      <c r="C121" s="74" t="s">
        <v>212</v>
      </c>
      <c r="D121" s="73">
        <f>D108</f>
        <v>0</v>
      </c>
    </row>
    <row r="122" ht="16.5" spans="1:4">
      <c r="A122" s="71"/>
      <c r="B122" s="71"/>
      <c r="C122" s="72" t="s">
        <v>213</v>
      </c>
      <c r="D122" s="73">
        <f>D116</f>
        <v>0</v>
      </c>
    </row>
    <row r="123" ht="16.5" spans="1:4">
      <c r="A123" s="71"/>
      <c r="B123" s="71"/>
      <c r="C123" s="74" t="s">
        <v>200</v>
      </c>
      <c r="D123" s="75">
        <f>TRUNC((SUM(D118:D122)),2)</f>
        <v>0</v>
      </c>
    </row>
    <row r="124" ht="15.75"/>
    <row r="125" spans="1:4">
      <c r="A125" s="41" t="s">
        <v>164</v>
      </c>
      <c r="B125" s="41"/>
      <c r="C125" s="41"/>
      <c r="D125" s="41"/>
    </row>
    <row r="126" ht="15.75" outlineLevel="1" spans="1:7">
      <c r="A126" s="3" t="s">
        <v>165</v>
      </c>
      <c r="B126" t="s">
        <v>166</v>
      </c>
      <c r="C126" s="3" t="s">
        <v>38</v>
      </c>
      <c r="D126" s="3" t="s">
        <v>19</v>
      </c>
      <c r="F126" s="91" t="s">
        <v>214</v>
      </c>
      <c r="G126" s="92"/>
    </row>
    <row r="127" outlineLevel="1" spans="1:7">
      <c r="A127" s="3" t="s">
        <v>42</v>
      </c>
      <c r="B127" t="s">
        <v>167</v>
      </c>
      <c r="C127" s="77"/>
      <c r="D127" s="66">
        <f>TRUNC(($D$123*C127),2)</f>
        <v>0</v>
      </c>
      <c r="F127" s="93" t="s">
        <v>215</v>
      </c>
      <c r="G127" s="81">
        <f>C129</f>
        <v>0.0865</v>
      </c>
    </row>
    <row r="128" outlineLevel="1" spans="1:7">
      <c r="A128" s="3" t="s">
        <v>45</v>
      </c>
      <c r="B128" t="s">
        <v>59</v>
      </c>
      <c r="C128" s="77"/>
      <c r="D128" s="66">
        <f>TRUNC((C128*(D123+D127)),2)</f>
        <v>0</v>
      </c>
      <c r="F128" s="94" t="s">
        <v>216</v>
      </c>
      <c r="G128" s="95">
        <f>TRUNC(SUM(D123,D127,D128),2)</f>
        <v>0</v>
      </c>
    </row>
    <row r="129" ht="15.75" spans="1:7">
      <c r="A129" s="3" t="s">
        <v>48</v>
      </c>
      <c r="B129" t="s">
        <v>168</v>
      </c>
      <c r="C129" s="77">
        <f>SUM(C130:C132)</f>
        <v>0.0865</v>
      </c>
      <c r="D129" s="66">
        <f>TRUNC((SUM(D130:D132)),2)</f>
        <v>0</v>
      </c>
      <c r="F129" s="93" t="s">
        <v>217</v>
      </c>
      <c r="G129" s="96">
        <f>(100-8.65)/100</f>
        <v>0.9135</v>
      </c>
    </row>
    <row r="130" ht="15.75" spans="1:7">
      <c r="A130" s="3"/>
      <c r="B130" t="s">
        <v>218</v>
      </c>
      <c r="C130" s="77">
        <v>0.0065</v>
      </c>
      <c r="D130" s="66">
        <f>TRUNC(($G$130*C130),2)</f>
        <v>0</v>
      </c>
      <c r="F130" s="94" t="s">
        <v>214</v>
      </c>
      <c r="G130" s="95">
        <f>TRUNC((G128/G129),2)</f>
        <v>0</v>
      </c>
    </row>
    <row r="131" ht="15.75" spans="1:4">
      <c r="A131" s="3"/>
      <c r="B131" t="s">
        <v>219</v>
      </c>
      <c r="C131" s="77">
        <v>0.03</v>
      </c>
      <c r="D131" s="66">
        <f>TRUNC(($G$130*C131),2)</f>
        <v>0</v>
      </c>
    </row>
    <row r="132" spans="1:4">
      <c r="A132" s="3"/>
      <c r="B132" t="s">
        <v>220</v>
      </c>
      <c r="C132" s="77">
        <v>0.05</v>
      </c>
      <c r="D132" s="66">
        <f>TRUNC(($G$130*C132),2)</f>
        <v>0</v>
      </c>
    </row>
    <row r="133" spans="1:4">
      <c r="A133" s="3" t="s">
        <v>58</v>
      </c>
      <c r="C133" s="97"/>
      <c r="D133" s="25">
        <f>SUM(D127:D129)</f>
        <v>0</v>
      </c>
    </row>
    <row r="134" spans="1:4">
      <c r="A134" s="3"/>
      <c r="C134" s="97"/>
      <c r="D134" s="25"/>
    </row>
    <row r="136" spans="1:4">
      <c r="A136" s="41" t="s">
        <v>172</v>
      </c>
      <c r="B136" s="41"/>
      <c r="C136" s="41"/>
      <c r="D136" s="41"/>
    </row>
    <row r="137" spans="1:4">
      <c r="A137" s="3" t="s">
        <v>16</v>
      </c>
      <c r="B137" s="3" t="s">
        <v>173</v>
      </c>
      <c r="C137" s="3" t="s">
        <v>102</v>
      </c>
      <c r="D137" s="3" t="s">
        <v>19</v>
      </c>
    </row>
    <row r="138" spans="1:4">
      <c r="A138" s="3" t="s">
        <v>42</v>
      </c>
      <c r="B138" t="s">
        <v>36</v>
      </c>
      <c r="D138" s="25">
        <f>D31</f>
        <v>0</v>
      </c>
    </row>
    <row r="139" spans="1:4">
      <c r="A139" s="3" t="s">
        <v>45</v>
      </c>
      <c r="B139" t="s">
        <v>61</v>
      </c>
      <c r="D139" s="25">
        <f>D71</f>
        <v>0</v>
      </c>
    </row>
    <row r="140" spans="1:4">
      <c r="A140" s="3" t="s">
        <v>48</v>
      </c>
      <c r="B140" t="s">
        <v>108</v>
      </c>
      <c r="D140" s="25">
        <f>D81</f>
        <v>0</v>
      </c>
    </row>
    <row r="141" spans="1:4">
      <c r="A141" s="3" t="s">
        <v>50</v>
      </c>
      <c r="B141" t="s">
        <v>174</v>
      </c>
      <c r="D141" s="25">
        <f>D108</f>
        <v>0</v>
      </c>
    </row>
    <row r="142" spans="1:4">
      <c r="A142" s="3" t="s">
        <v>53</v>
      </c>
      <c r="B142" t="s">
        <v>152</v>
      </c>
      <c r="D142" s="25">
        <f>Módulo562[[#Totals],[Valor]]</f>
        <v>0</v>
      </c>
    </row>
    <row r="143" spans="2:4">
      <c r="B143" s="98" t="s">
        <v>175</v>
      </c>
      <c r="D143" s="25">
        <f>SUM(D138:D142)</f>
        <v>0</v>
      </c>
    </row>
    <row r="144" spans="1:4">
      <c r="A144" s="3" t="s">
        <v>55</v>
      </c>
      <c r="B144" t="s">
        <v>164</v>
      </c>
      <c r="D144" s="25">
        <f>Módulo663[[#Totals],[Valor]]</f>
        <v>0</v>
      </c>
    </row>
    <row r="145" spans="1:4">
      <c r="A145" s="99"/>
      <c r="B145" s="71" t="s">
        <v>221</v>
      </c>
      <c r="C145" s="99"/>
      <c r="D145" s="100">
        <f>(SUM(D138:D142)+D127+D128)/(100%-C129)</f>
        <v>0</v>
      </c>
    </row>
    <row r="146" spans="1:4">
      <c r="A146" s="101"/>
      <c r="B146" s="102" t="s">
        <v>222</v>
      </c>
      <c r="C146" s="103"/>
      <c r="D146" s="100">
        <f>TRUNC((D145*2),2)</f>
        <v>0</v>
      </c>
    </row>
  </sheetData>
  <mergeCells count="34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I22:J22"/>
    <mergeCell ref="A23:D23"/>
    <mergeCell ref="F31:G31"/>
    <mergeCell ref="A33:D33"/>
    <mergeCell ref="A35:D35"/>
    <mergeCell ref="A45:D45"/>
    <mergeCell ref="A57:D57"/>
    <mergeCell ref="A66:D66"/>
    <mergeCell ref="A73:D73"/>
    <mergeCell ref="A88:D88"/>
    <mergeCell ref="A89:D89"/>
    <mergeCell ref="A99:D99"/>
    <mergeCell ref="A104:D104"/>
    <mergeCell ref="A110:D110"/>
    <mergeCell ref="A125:D125"/>
    <mergeCell ref="F126:G126"/>
    <mergeCell ref="A136:D136"/>
    <mergeCell ref="A41:B43"/>
    <mergeCell ref="A83:B86"/>
    <mergeCell ref="A118:B123"/>
  </mergeCells>
  <pageMargins left="0.7" right="0.7" top="0.75" bottom="0.75" header="0.3" footer="0.3"/>
  <pageSetup paperSize="9" scale="39" fitToHeight="0" orientation="portrait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"/>
  <sheetViews>
    <sheetView showGridLines="0" topLeftCell="A10" workbookViewId="0">
      <selection activeCell="F24" sqref="F24"/>
    </sheetView>
  </sheetViews>
  <sheetFormatPr defaultColWidth="9" defaultRowHeight="15" outlineLevelCol="6"/>
  <cols>
    <col min="1" max="1" width="7.28571428571429" customWidth="1"/>
    <col min="2" max="2" width="37.1428571428571" customWidth="1"/>
    <col min="3" max="3" width="49.5714285714286" customWidth="1"/>
    <col min="4" max="4" width="12.2857142857143" customWidth="1"/>
    <col min="5" max="5" width="8.57142857142857" customWidth="1"/>
    <col min="6" max="6" width="15.1428571428571" customWidth="1"/>
    <col min="7" max="7" width="13.7142857142857" customWidth="1"/>
  </cols>
  <sheetData>
    <row r="1" spans="1:7">
      <c r="A1" s="1" t="s">
        <v>155</v>
      </c>
      <c r="B1" s="1"/>
      <c r="C1" s="1"/>
      <c r="D1" s="1"/>
      <c r="E1" s="1"/>
      <c r="F1" s="1"/>
      <c r="G1" s="1"/>
    </row>
    <row r="2" ht="33.75" customHeight="1" spans="1:7">
      <c r="A2" s="11" t="s">
        <v>16</v>
      </c>
      <c r="B2" s="11" t="s">
        <v>223</v>
      </c>
      <c r="C2" s="11" t="s">
        <v>17</v>
      </c>
      <c r="D2" s="11" t="s">
        <v>224</v>
      </c>
      <c r="E2" s="11" t="s">
        <v>225</v>
      </c>
      <c r="F2" s="11" t="s">
        <v>226</v>
      </c>
      <c r="G2" s="11" t="s">
        <v>227</v>
      </c>
    </row>
    <row r="3" ht="45" spans="1:7">
      <c r="A3" s="21">
        <v>1</v>
      </c>
      <c r="B3" s="21" t="s">
        <v>228</v>
      </c>
      <c r="C3" s="22" t="s">
        <v>229</v>
      </c>
      <c r="D3" s="23">
        <v>0</v>
      </c>
      <c r="E3" s="10"/>
      <c r="F3" s="24">
        <f>Table43[[#This Row],[Valor Médio Unitário (R$)]]*Table43[[#This Row],[Quant. Anual]]</f>
        <v>0</v>
      </c>
      <c r="G3" s="24">
        <f>Table43[[#This Row],[Valor Anual/ Empregado (R$)]]/12</f>
        <v>0</v>
      </c>
    </row>
    <row r="4" ht="60" spans="1:7">
      <c r="A4" s="21">
        <v>2</v>
      </c>
      <c r="B4" s="21" t="s">
        <v>230</v>
      </c>
      <c r="C4" s="22" t="s">
        <v>231</v>
      </c>
      <c r="D4" s="23">
        <v>0</v>
      </c>
      <c r="E4" s="10"/>
      <c r="F4" s="24">
        <f>Table43[[#This Row],[Valor Médio Unitário (R$)]]*Table43[[#This Row],[Quant. Anual]]</f>
        <v>0</v>
      </c>
      <c r="G4" s="24">
        <f>Table43[[#This Row],[Valor Anual/ Empregado (R$)]]/12</f>
        <v>0</v>
      </c>
    </row>
    <row r="5" ht="75" spans="1:7">
      <c r="A5" s="21">
        <v>3</v>
      </c>
      <c r="B5" s="21" t="s">
        <v>232</v>
      </c>
      <c r="C5" s="22" t="s">
        <v>233</v>
      </c>
      <c r="D5" s="23">
        <v>0</v>
      </c>
      <c r="E5" s="10"/>
      <c r="F5" s="24">
        <f>Table43[[#This Row],[Valor Médio Unitário (R$)]]*Table43[[#This Row],[Quant. Anual]]</f>
        <v>0</v>
      </c>
      <c r="G5" s="24">
        <f>Table43[[#This Row],[Valor Anual/ Empregado (R$)]]/12</f>
        <v>0</v>
      </c>
    </row>
    <row r="6" ht="75" spans="1:7">
      <c r="A6" s="21">
        <v>4</v>
      </c>
      <c r="B6" s="21" t="s">
        <v>234</v>
      </c>
      <c r="C6" s="22" t="s">
        <v>235</v>
      </c>
      <c r="D6" s="23">
        <v>0</v>
      </c>
      <c r="E6" s="10"/>
      <c r="F6" s="24">
        <f>Table43[[#This Row],[Valor Médio Unitário (R$)]]*Table43[[#This Row],[Quant. Anual]]</f>
        <v>0</v>
      </c>
      <c r="G6" s="24">
        <f>Table43[[#This Row],[Valor Anual/ Empregado (R$)]]/12</f>
        <v>0</v>
      </c>
    </row>
    <row r="7" ht="28.5" customHeight="1" spans="1:7">
      <c r="A7" s="21">
        <v>5</v>
      </c>
      <c r="B7" s="21" t="s">
        <v>236</v>
      </c>
      <c r="C7" s="22" t="s">
        <v>237</v>
      </c>
      <c r="D7" s="23">
        <v>0</v>
      </c>
      <c r="E7" s="10"/>
      <c r="F7" s="24">
        <f>Table43[[#This Row],[Valor Médio Unitário (R$)]]*Table43[[#This Row],[Quant. Anual]]</f>
        <v>0</v>
      </c>
      <c r="G7" s="24">
        <f>Table43[[#This Row],[Valor Anual/ Empregado (R$)]]/12</f>
        <v>0</v>
      </c>
    </row>
    <row r="8" spans="1:7">
      <c r="A8" s="21">
        <v>6</v>
      </c>
      <c r="B8" s="21" t="s">
        <v>238</v>
      </c>
      <c r="C8" s="22" t="s">
        <v>239</v>
      </c>
      <c r="D8" s="23">
        <v>0</v>
      </c>
      <c r="E8" s="10"/>
      <c r="F8" s="24">
        <f>Table43[[#This Row],[Valor Médio Unitário (R$)]]*Table43[[#This Row],[Quant. Anual]]</f>
        <v>0</v>
      </c>
      <c r="G8" s="24">
        <f>Table43[[#This Row],[Valor Anual/ Empregado (R$)]]/12</f>
        <v>0</v>
      </c>
    </row>
    <row r="9" ht="30" spans="1:7">
      <c r="A9" s="21">
        <v>7</v>
      </c>
      <c r="B9" s="21" t="s">
        <v>240</v>
      </c>
      <c r="C9" s="22" t="s">
        <v>241</v>
      </c>
      <c r="D9" s="23">
        <v>0</v>
      </c>
      <c r="E9" s="10"/>
      <c r="F9" s="24">
        <f>Table43[[#This Row],[Valor Médio Unitário (R$)]]*Table43[[#This Row],[Quant. Anual]]</f>
        <v>0</v>
      </c>
      <c r="G9" s="24">
        <f>Table43[[#This Row],[Valor Anual/ Empregado (R$)]]/12</f>
        <v>0</v>
      </c>
    </row>
    <row r="10" ht="45" spans="1:7">
      <c r="A10" s="21">
        <v>8</v>
      </c>
      <c r="B10" s="21" t="s">
        <v>242</v>
      </c>
      <c r="C10" s="22" t="s">
        <v>243</v>
      </c>
      <c r="D10" s="23">
        <v>0</v>
      </c>
      <c r="E10" s="10"/>
      <c r="F10" s="24">
        <f>Table43[[#This Row],[Valor Médio Unitário (R$)]]*Table43[[#This Row],[Quant. Anual]]</f>
        <v>0</v>
      </c>
      <c r="G10" s="24">
        <f>Table43[[#This Row],[Valor Anual/ Empregado (R$)]]/12</f>
        <v>0</v>
      </c>
    </row>
    <row r="11" spans="1:7">
      <c r="A11" t="s">
        <v>58</v>
      </c>
      <c r="G11" s="25">
        <f>SUBTOTAL(109,Table43[Valor Mensal/ Empregado])</f>
        <v>0</v>
      </c>
    </row>
    <row r="13" spans="1:7">
      <c r="A13" s="1" t="s">
        <v>156</v>
      </c>
      <c r="B13" s="1"/>
      <c r="C13" s="1" t="s">
        <v>156</v>
      </c>
      <c r="D13" s="1"/>
      <c r="E13" s="1"/>
      <c r="F13" s="1"/>
      <c r="G13" s="1"/>
    </row>
    <row r="14" ht="30" spans="1:7">
      <c r="A14" s="11" t="s">
        <v>16</v>
      </c>
      <c r="B14" s="11" t="s">
        <v>223</v>
      </c>
      <c r="C14" s="11" t="s">
        <v>17</v>
      </c>
      <c r="D14" s="11" t="s">
        <v>224</v>
      </c>
      <c r="E14" s="11" t="s">
        <v>225</v>
      </c>
      <c r="F14" s="11" t="s">
        <v>226</v>
      </c>
      <c r="G14" s="11" t="s">
        <v>227</v>
      </c>
    </row>
    <row r="15" spans="1:7">
      <c r="A15" s="26">
        <v>1</v>
      </c>
      <c r="B15" s="27" t="s">
        <v>244</v>
      </c>
      <c r="C15" s="11"/>
      <c r="D15" s="28">
        <v>0</v>
      </c>
      <c r="E15" s="29"/>
      <c r="F15" s="30">
        <f>Table43_2[[#This Row],[Valor Médio Unitário (R$)]]*Table43_2[[#This Row],[Quant. Anual]]/2</f>
        <v>0</v>
      </c>
      <c r="G15" s="30">
        <f>Table43_2[[#This Row],[Valor Anual/ Empregado (R$)]]/12</f>
        <v>0</v>
      </c>
    </row>
    <row r="16" spans="1:7">
      <c r="A16" s="26">
        <v>2</v>
      </c>
      <c r="B16" s="27" t="s">
        <v>245</v>
      </c>
      <c r="C16" s="11"/>
      <c r="D16" s="28">
        <v>0</v>
      </c>
      <c r="E16" s="29"/>
      <c r="F16" s="30">
        <f>Table43_2[[#This Row],[Valor Médio Unitário (R$)]]*Table43_2[[#This Row],[Quant. Anual]]/2</f>
        <v>0</v>
      </c>
      <c r="G16" s="30">
        <f>Table43_2[[#This Row],[Valor Anual/ Empregado (R$)]]/12</f>
        <v>0</v>
      </c>
    </row>
    <row r="17" spans="1:7">
      <c r="A17" s="26">
        <v>3</v>
      </c>
      <c r="B17" s="27" t="s">
        <v>246</v>
      </c>
      <c r="C17" s="11"/>
      <c r="D17" s="28">
        <v>0</v>
      </c>
      <c r="E17" s="29"/>
      <c r="F17" s="30">
        <f>Table43_2[[#This Row],[Valor Médio Unitário (R$)]]*Table43_2[[#This Row],[Quant. Anual]]/2</f>
        <v>0</v>
      </c>
      <c r="G17" s="30">
        <f>Table43_2[[#This Row],[Valor Anual/ Empregado (R$)]]/12</f>
        <v>0</v>
      </c>
    </row>
    <row r="18" spans="1:7">
      <c r="A18" t="s">
        <v>58</v>
      </c>
      <c r="G18" s="25">
        <f>SUBTOTAL(109,Table43_2[Valor Mensal/ Empregado])</f>
        <v>0</v>
      </c>
    </row>
  </sheetData>
  <mergeCells count="2">
    <mergeCell ref="A1:G1"/>
    <mergeCell ref="A13:G13"/>
  </mergeCells>
  <pageMargins left="0.7" right="0.7" top="0.75" bottom="0.75" header="0.3" footer="0.3"/>
  <pageSetup paperSize="9" scale="60" fitToHeight="0" orientation="portrait"/>
  <headerFooter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showGridLines="0" tabSelected="1" workbookViewId="0">
      <selection activeCell="H22" sqref="H22"/>
    </sheetView>
  </sheetViews>
  <sheetFormatPr defaultColWidth="9" defaultRowHeight="15" outlineLevelCol="6"/>
  <cols>
    <col min="1" max="1" width="7.28571428571429" customWidth="1"/>
    <col min="2" max="2" width="63.5714285714286" customWidth="1"/>
    <col min="3" max="3" width="10.5714285714286" customWidth="1"/>
    <col min="4" max="4" width="21.5714285714286" customWidth="1"/>
    <col min="5" max="5" width="14.4285714285714" customWidth="1"/>
    <col min="6" max="6" width="16.7142857142857" customWidth="1"/>
  </cols>
  <sheetData>
    <row r="1" spans="1:6">
      <c r="A1" s="1" t="s">
        <v>157</v>
      </c>
      <c r="B1" s="1"/>
      <c r="C1" s="1"/>
      <c r="D1" s="1"/>
      <c r="E1" s="1"/>
      <c r="F1" s="1"/>
    </row>
    <row r="2" spans="1:6">
      <c r="A2" t="s">
        <v>16</v>
      </c>
      <c r="B2" t="s">
        <v>17</v>
      </c>
      <c r="C2" t="s">
        <v>247</v>
      </c>
      <c r="D2" t="s">
        <v>248</v>
      </c>
      <c r="E2" s="2" t="s">
        <v>249</v>
      </c>
      <c r="F2" t="s">
        <v>250</v>
      </c>
    </row>
    <row r="3" ht="15.75" spans="1:6">
      <c r="A3" s="3">
        <v>1</v>
      </c>
      <c r="B3" s="4" t="s">
        <v>251</v>
      </c>
      <c r="C3" s="5" t="s">
        <v>252</v>
      </c>
      <c r="D3" s="6">
        <v>0</v>
      </c>
      <c r="E3" s="7"/>
      <c r="F3" s="8">
        <f>Table44[[#This Row],[Valor Médio Unitário]]*Table44[[#This Row],[Quantidade]]</f>
        <v>0</v>
      </c>
    </row>
    <row r="4" ht="15.75" spans="1:6">
      <c r="A4" s="3">
        <v>2</v>
      </c>
      <c r="B4" s="4" t="s">
        <v>253</v>
      </c>
      <c r="C4" s="9" t="s">
        <v>252</v>
      </c>
      <c r="D4" s="6">
        <v>0</v>
      </c>
      <c r="E4" s="7"/>
      <c r="F4" s="8">
        <f>Table44[[#This Row],[Valor Médio Unitário]]*Table44[[#This Row],[Quantidade]]</f>
        <v>0</v>
      </c>
    </row>
    <row r="5" ht="15.75" spans="1:6">
      <c r="A5" s="3">
        <v>3</v>
      </c>
      <c r="B5" s="4" t="s">
        <v>254</v>
      </c>
      <c r="C5" s="9" t="s">
        <v>252</v>
      </c>
      <c r="D5" s="6">
        <v>0</v>
      </c>
      <c r="E5" s="7"/>
      <c r="F5" s="8">
        <f>Table44[[#This Row],[Valor Médio Unitário]]*Table44[[#This Row],[Quantidade]]</f>
        <v>0</v>
      </c>
    </row>
    <row r="6" ht="15.75" spans="1:6">
      <c r="A6" s="3">
        <v>4</v>
      </c>
      <c r="B6" s="4" t="s">
        <v>255</v>
      </c>
      <c r="C6" s="9" t="s">
        <v>252</v>
      </c>
      <c r="D6" s="6">
        <v>0</v>
      </c>
      <c r="E6" s="7"/>
      <c r="F6" s="8">
        <f>Table44[[#This Row],[Valor Médio Unitário]]*Table44[[#This Row],[Quantidade]]</f>
        <v>0</v>
      </c>
    </row>
    <row r="7" ht="18.75" customHeight="1" spans="1:6">
      <c r="A7" s="3">
        <v>5</v>
      </c>
      <c r="B7" s="4" t="s">
        <v>256</v>
      </c>
      <c r="C7" s="9" t="s">
        <v>252</v>
      </c>
      <c r="D7" s="6">
        <v>0</v>
      </c>
      <c r="E7" s="7"/>
      <c r="F7" s="8">
        <f>Table44[[#This Row],[Valor Médio Unitário]]*Table44[[#This Row],[Quantidade]]</f>
        <v>0</v>
      </c>
    </row>
    <row r="8" ht="18.75" customHeight="1" spans="1:6">
      <c r="A8" s="3">
        <v>6</v>
      </c>
      <c r="B8" s="4" t="s">
        <v>257</v>
      </c>
      <c r="C8" s="9" t="s">
        <v>252</v>
      </c>
      <c r="D8" s="6">
        <v>0</v>
      </c>
      <c r="E8" s="7"/>
      <c r="F8" s="8">
        <f>Table44[[#This Row],[Valor Médio Unitário]]*Table44[[#This Row],[Quantidade]]</f>
        <v>0</v>
      </c>
    </row>
    <row r="9" ht="31.5" spans="1:6">
      <c r="A9" s="3">
        <v>7</v>
      </c>
      <c r="B9" s="4" t="s">
        <v>258</v>
      </c>
      <c r="C9" s="9" t="s">
        <v>252</v>
      </c>
      <c r="D9" s="6">
        <v>0</v>
      </c>
      <c r="E9" s="10"/>
      <c r="F9" s="8">
        <f>Table44[[#This Row],[Valor Médio Unitário]]*Table44[[#This Row],[Quantidade]]</f>
        <v>0</v>
      </c>
    </row>
    <row r="10" spans="1:6">
      <c r="A10" s="3" t="s">
        <v>58</v>
      </c>
      <c r="B10" s="11"/>
      <c r="C10" s="9"/>
      <c r="D10" s="9"/>
      <c r="E10" s="9"/>
      <c r="F10" s="8">
        <f>SUBTOTAL(109,Table44[Valor Total (R$)])</f>
        <v>0</v>
      </c>
    </row>
    <row r="11" spans="1:6">
      <c r="A11" s="12" t="s">
        <v>259</v>
      </c>
      <c r="B11" s="13"/>
      <c r="C11" s="13"/>
      <c r="D11" s="13"/>
      <c r="E11" s="14"/>
      <c r="F11" s="15">
        <f>Table44[[#Totals],[Valor Total (R$)]]*0.5%</f>
        <v>0</v>
      </c>
    </row>
    <row r="12" spans="1:6">
      <c r="A12" s="16" t="s">
        <v>260</v>
      </c>
      <c r="B12" s="16"/>
      <c r="C12" s="16"/>
      <c r="D12" s="16"/>
      <c r="E12" s="16"/>
      <c r="F12" s="17">
        <f>Table44[[#Totals],[Valor Total (R$)]]*(1-0.2)/(12*8)</f>
        <v>0</v>
      </c>
    </row>
    <row r="13" spans="1:6">
      <c r="A13" s="16" t="s">
        <v>261</v>
      </c>
      <c r="B13" s="16"/>
      <c r="C13" s="16"/>
      <c r="D13" s="16"/>
      <c r="E13" s="16"/>
      <c r="F13" s="17">
        <f>F11+F12</f>
        <v>0</v>
      </c>
    </row>
    <row r="15" spans="1:6">
      <c r="A15" s="18" t="s">
        <v>262</v>
      </c>
      <c r="B15" s="19"/>
      <c r="C15" s="19"/>
      <c r="D15" s="19"/>
      <c r="E15" s="19"/>
      <c r="F15" s="19"/>
    </row>
    <row r="16" spans="1:6">
      <c r="A16" s="19"/>
      <c r="B16" s="19"/>
      <c r="C16" s="19"/>
      <c r="D16" s="19"/>
      <c r="E16" s="19"/>
      <c r="F16" s="19"/>
    </row>
    <row r="17" spans="1:7">
      <c r="A17" s="19"/>
      <c r="B17" s="19"/>
      <c r="C17" s="19"/>
      <c r="D17" s="19"/>
      <c r="E17" s="19"/>
      <c r="F17" s="19"/>
      <c r="G17" s="20"/>
    </row>
    <row r="18" spans="1:7">
      <c r="A18" s="19"/>
      <c r="B18" s="19"/>
      <c r="C18" s="19"/>
      <c r="D18" s="19"/>
      <c r="E18" s="19"/>
      <c r="F18" s="19"/>
      <c r="G18" s="20"/>
    </row>
    <row r="19" spans="1:6">
      <c r="A19" s="19"/>
      <c r="B19" s="19"/>
      <c r="C19" s="19"/>
      <c r="D19" s="19"/>
      <c r="E19" s="19"/>
      <c r="F19" s="19"/>
    </row>
    <row r="20" spans="1:6">
      <c r="A20" s="19"/>
      <c r="B20" s="19"/>
      <c r="C20" s="19"/>
      <c r="D20" s="19"/>
      <c r="E20" s="19"/>
      <c r="F20" s="19"/>
    </row>
    <row r="21" spans="1:6">
      <c r="A21" s="19"/>
      <c r="B21" s="19"/>
      <c r="C21" s="19"/>
      <c r="D21" s="19"/>
      <c r="E21" s="19"/>
      <c r="F21" s="19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  <row r="24" ht="61" customHeight="1" spans="1:6">
      <c r="A24" s="19"/>
      <c r="B24" s="19"/>
      <c r="C24" s="19"/>
      <c r="D24" s="19"/>
      <c r="E24" s="19"/>
      <c r="F24" s="19"/>
    </row>
  </sheetData>
  <mergeCells count="5">
    <mergeCell ref="A1:F1"/>
    <mergeCell ref="A11:E11"/>
    <mergeCell ref="A12:E12"/>
    <mergeCell ref="A13:E13"/>
    <mergeCell ref="A15:F24"/>
  </mergeCells>
  <pageMargins left="0.7" right="0.7" top="0.75" bottom="0.75" header="0.3" footer="0.3"/>
  <pageSetup paperSize="9" scale="65" fitToHeight="0" orientation="portrait"/>
  <headerFooter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 2 0 1 9 - 0 2 - 2 4 T 0 9 : 4 5 : 1 6 . 4 5 6 9 3 8 4 - 0 3 : 0 0 < / L a s t P r o c e s s e d T i m e > < / D a t a M o d e l i n g S a n d b o x . S e r i a l i z e d S a n d b o x E r r o r C a c h e > ] ] > < / C u s t o m C o n t e n t > < / G e m i n i > 
</file>

<file path=customXml/item10.xml>��< ? x m l   v e r s i o n = " 1 . 0 "   e n c o d i n g = " u t f - 1 6 " ? > < D a t a M a s h u p   s q m i d = " e 2 a 4 9 9 5 0 - 3 2 8 9 - 4 a 8 a - 8 9 5 b - 5 3 c 5 1 3 3 4 b 7 5 1 "   x m l n s = " h t t p : / / s c h e m a s . m i c r o s o f t . c o m / D a t a M a s h u p " > A A A A A B Y D A A B Q S w M E F A A C A A g A y A h Y T s z Z p g S m A A A A + A A A A B I A H A B D b 2 5 m a W c v U G F j a 2 F n Z S 5 4 b W w g o h g A K K A U A A A A A A A A A A A A A A A A A A A A A A A A A A A A h Y / N C o J A G E V f R W b v / C i G y O c I t U 2 I g m g 7 j J M O 6 S j O m L 5 b i x 6 p V 0 g o q 1 3 L e z i L c x + 3 O 2 R T U 3 t X 1 V v d m h Q x T J G n j G w L b c o U D e 7 s x y j j s B P y I k r l z b K x y W S L F F X O d Q k h 4 z j i M c R t X 5 K A U k Z O + f Y g K 9 U I 9 J H 1 f 9 n X x j p h p E I c j q 8 Y H u B V h K O Q h Z j F D M i C I d f m q w R z M a Z A f i B s h t o N v e K d 8 9 d 7 I M s E 8 n 7 B n 1 B L A w Q U A A I A C A D I C F h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A h Y T i i K R 7 g O A A A A E Q A A A B M A H A B G b 3 J t d W x h c y 9 T Z W N 0 a W 9 u M S 5 t I K I Y A C i g F A A A A A A A A A A A A A A A A A A A A A A A A A A A A C t O T S 7 J z M 9 T C I b Q h t Y A U E s B A i 0 A F A A C A A g A y A h Y T s z Z p g S m A A A A + A A A A B I A A A A A A A A A A A A A A A A A A A A A A E N v b m Z p Z y 9 Q Y W N r Y W d l L n h t b F B L A Q I t A B Q A A g A I A M g I W E 4 P y u m r p A A A A O k A A A A T A A A A A A A A A A A A A A A A A P I A A A B b Q 2 9 u d G V u d F 9 U e X B l c 1 0 u e G 1 s U E s B A i 0 A F A A C A A g A y A h Y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t h z y a I / h t C p d F H y o F 5 j w w A A A A A A g A A A A A A E G Y A A A A B A A A g A A A A 3 7 M m + 8 3 8 3 3 9 e P c d k A P 1 i B T + D w a I V n 4 + W + q t 3 X z F y 0 8 U A A A A A D o A A A A A C A A A g A A A A S o N 8 V a H s b r 0 o R L r a M 5 S d Z C f C 8 7 4 o u d E H T y P h o v D + + b 1 Q A A A A O 8 T X n P O o k 6 M o V w g b L 4 t X i Q z 2 3 7 j e J H C Y 4 n i L h 6 1 5 S 7 / P H E m 8 V l z Q u U e m l o R R A f s g 7 6 m U K j K s o m + o u 7 P 4 g G U a 5 C z 0 H A / L Y t B a T Z N T 7 g Q b v h V A A A A A d E z x s j J U 1 a 7 f p b r g d y f V N 7 1 y u G O / + g I O T d e h W n c W 7 / X X W S 1 n 3 I i Y d N y j 1 n U H y F 5 U x g f X V v o F w / f t t z a O w k o e X A = = < / D a t a M a s h u p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 C o l u m n s \ D e s c r i � � o < / K e y > < / D i a g r a m O b j e c t K e y > < D i a g r a m O b j e c t K e y > < K e y > C o l u m n s \ T i p o < / K e y > < / D i a g r a m O b j e c t K e y > < D i a g r a m O b j e c t K e y > < K e y > C o l u m n s \ Q u a n t i d a d e < / K e y > < / D i a g r a m O b j e c t K e y > < D i a g r a m O b j e c t K e y > < K e y > C o l u m n s \ F r e q u � n c i a   n o   m � s / s e m e s t r e < / K e y > < / D i a g r a m O b j e c t K e y > < D i a g r a m O b j e c t K e y > < K e y > C o l u m n s \ J o r n a d a   d e   T r a b a l h o   n o   m � s / S e m e s t r e < / K e y > < / D i a g r a m O b j e c t K e y > < D i a g r a m O b j e c t K e y > < K e y > C o l u m n s \ P r o d u t i v i d a d e   M � n i m a < / K e y > < / D i a g r a m O b j e c t K e y > < D i a g r a m O b j e c t K e y > < K e y > C o l u m n s \ P r o d u t i v i d a d e   M � x i m a < / K e y > < / D i a g r a m O b j e c t K e y > < D i a g r a m O b j e c t K e y > < K e y > C o l u m n s \ P r o d u t i v i d a d e   M � d i a < / K e y > < / D i a g r a m O b j e c t K e y > < D i a g r a m O b j e c t K e y > < K e y > C o l u m n s \ P r o d u t i v i d a d e   P e r s o n a l i z a d a < / K e y > < / D i a g r a m O b j e c t K e y > < D i a g r a m O b j e c t K e y > < K e y > C o l u m n s \ K i < / K e y > < / D i a g r a m O b j e c t K e y > < D i a g r a m O b j e c t K e y > < K e y > C o l u m n s \ Q t d e .   S e r v e n t e s < / K e y > < / D i a g r a m O b j e c t K e y > < D i a g r a m O b j e c t K e y > < K e y > C o l u m n s \ K i   a j u s t a d o < / K e y > < / D i a g r a m O b j e c t K e y > < D i a g r a m O b j e c t K e y > < K e y > C o l u m n s \ Q t e   a j u s t a d a < / K e y > < / D i a g r a m O b j e c t K e y > < D i a g r a m O b j e c t K e y > < K e y > C o l u m n s \ P r o d u t i v i d a d e 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 T a g s \ T a b l e s \ & l t ; T a b l e s \ T a b l e 3 & g t ; < / K e y > < / D i a g r a m O b j e c t K e y > < D i a g r a m O b j e c t K e y > < K e y > T a b l e s \ T a b l e 3 < / K e y > < / D i a g r a m O b j e c t K e y > < D i a g r a m O b j e c t K e y > < K e y > T a b l e s \ T a b l e 3 \ C o l u m n s \ D e s c r i � � o < / K e y > < / D i a g r a m O b j e c t K e y > < D i a g r a m O b j e c t K e y > < K e y > T a b l e s \ T a b l e 3 \ C o l u m n s \ T i p o < / K e y > < / D i a g r a m O b j e c t K e y > < D i a g r a m O b j e c t K e y > < K e y > T a b l e s \ T a b l e 3 \ C o l u m n s \ Q u a n t i d a d e < / K e y > < / D i a g r a m O b j e c t K e y > < D i a g r a m O b j e c t K e y > < K e y > T a b l e s \ T a b l e 3 \ C o l u m n s \ F r e q u � n c i a   n o   m � s / s e m e s t r e < / K e y > < / D i a g r a m O b j e c t K e y > < D i a g r a m O b j e c t K e y > < K e y > T a b l e s \ T a b l e 3 \ C o l u m n s \ J o r n a d a   d e   T r a b a l h o   n o   m � s / S e m e s t r e < / K e y > < / D i a g r a m O b j e c t K e y > < D i a g r a m O b j e c t K e y > < K e y > T a b l e s \ T a b l e 3 \ C o l u m n s \ P r o d u t i v i d a d e   M � n i m a < / K e y > < / D i a g r a m O b j e c t K e y > < D i a g r a m O b j e c t K e y > < K e y > T a b l e s \ T a b l e 3 \ C o l u m n s \ P r o d u t i v i d a d e   M � x i m a < / K e y > < / D i a g r a m O b j e c t K e y > < D i a g r a m O b j e c t K e y > < K e y > T a b l e s \ T a b l e 3 \ C o l u m n s \ P r o d u t i v i d a d e   M � d i a < / K e y > < / D i a g r a m O b j e c t K e y > < D i a g r a m O b j e c t K e y > < K e y > T a b l e s \ T a b l e 3 \ C o l u m n s \ P r o d u t i v i d a d e   P e r s o n a l i z a d a < / K e y > < / D i a g r a m O b j e c t K e y > < D i a g r a m O b j e c t K e y > < K e y > T a b l e s \ T a b l e 3 \ C o l u m n s \ K i < / K e y > < / D i a g r a m O b j e c t K e y > < D i a g r a m O b j e c t K e y > < K e y > T a b l e s \ T a b l e 3 \ C o l u m n s \ Q t d e .   S e r v e n t e s < / K e y > < / D i a g r a m O b j e c t K e y > < D i a g r a m O b j e c t K e y > < K e y > T a b l e s \ T a b l e 3 \ C o l u m n s \ K i   a j u s t a d o < / K e y > < / D i a g r a m O b j e c t K e y > < D i a g r a m O b j e c t K e y > < K e y > T a b l e s \ T a b l e 3 \ C o l u m n s \ Q t e   a j u s t a d a < / K e y > < / D i a g r a m O b j e c t K e y > < D i a g r a m O b j e c t K e y > < K e y > T a b l e s \ T a b l e 3 \ C o l u m n s \ P r o d u t i v i d a d e < / K e y > < / D i a g r a m O b j e c t K e y > < / A l l K e y s > < S e l e c t e d K e y s > < D i a g r a m O b j e c t K e y > < K e y > T a b l e s \ T a b l e 3 \ C o l u m n s \ P r o d u t i v i d a d e 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 T a g s \ T a b l e s \ & l t ; T a b l e s \ T a b l e 3 & g t ; 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 T a b l e s \ T a b l e 3 < / K e y > < / a : K e y > < a : V a l u e   i : t y p e = " D i a g r a m D i s p l a y N o d e V i e w S t a t e " > < H e i g h t > 4 4 4 < / H e i g h t > < I s E x p a n d e d > t r u e < / I s E x p a n d e d > < L a y e d O u t > t r u e < / L a y e d O u t > < W i d t h > 6 2 2 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 T a b l e s \ T a b l e 3 \ C o l u m n s \ D e s c r i � � o 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 T a b l e s \ T a b l e 3 \ C o l u m n s \ Q u a n t i d a d e 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 T a b l e s \ T a b l e 3 \ C o l u m n s \ F r e q u � n c i a 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 T a b l e s \ T a b l e 3 \ C o l u m n s \ J o r n a d a   d e   T r a b a l h o 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 M � n i m a 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 M � x i m a 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 M � d i a 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 P e r s o n a l i z a d a 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 T a b l e s \ T a b l e 3 \ C o l u m n s \ Q t d e .   S e r v e n t e s 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  a j u s t a d o 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 T a b l e s \ T a b l e 3 \ C o l u m n s \ Q t e   a j u s t a d a 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 D e s c r i � � o < / s t r i n g > < / k e y > < v a l u e > < i n t > 2 5 2 < / i n t > < / v a l u e > < / i t e m > < i t e m > < k e y > < s t r i n g > T i p o < / s t r i n g > < / k e y > < v a l u e > < i n t > 6 3 < / i n t > < / v a l u e > < / i t e m > < i t e m > < k e y > < s t r i n g > Q u a n t i d a d e < / s t r i n g > < / k e y > < v a l u e > < i n t > 1 0 8 < / i n t > < / v a l u e > < / i t e m > < i t e m > < k e y > < s t r i n g > F r e q u � n c i a   n o   m � s / s e m e s t r e < / s t r i n g > < / k e y > < v a l u e > < i n t > 1 4 6 < / i n t > < / v a l u e > < / i t e m > < i t e m > < k e y > < s t r i n g > J o r n a d a   d e   T r a b a l h o   n o   m � s / S e m e s t r e < / s t r i n g > < / k e y > < v a l u e > < i n t > 2 7 2 < / i n t > < / v a l u e > < / i t e m > < i t e m > < k e y > < s t r i n g > P r o d u t i v i d a d e   M � n i m a < / s t r i n g > < / k e y > < v a l u e > < i n t > 1 7 2 < / i n t > < / v a l u e > < / i t e m > < i t e m > < k e y > < s t r i n g > P r o d u t i v i d a d e   M � x i m a < / s t r i n g > < / k e y > < v a l u e > < i n t > 1 7 5 < / i n t > < / v a l u e > < / i t e m > < i t e m > < k e y > < s t r i n g > P r o d u t i v i d a d e   M � d i a < / s t r i n g > < / k e y > < v a l u e > < i n t > 1 6 5 < / i n t > < / v a l u e > < / i t e m > < i t e m > < k e y > < s t r i n g > P r o d u t i v i d a d e   P e r s o n a l i z a d a < / s t r i n g > < / k e y > < v a l u e > < i n t > 2 1 2 < / i n t > < / v a l u e > < / i t e m > < i t e m > < k e y > < s t r i n g > K i < / s t r i n g > < / k e y > < v a l u e > < i n t > 4 8 < / i n t > < / v a l u e > < / i t e m > < i t e m > < k e y > < s t r i n g > Q t d e .   S e r v e n t e s < / s t r i n g > < / k e y > < v a l u e > < i n t > 1 3 6 < / i n t > < / v a l u e > < / i t e m > < i t e m > < k e y > < s t r i n g > K i   a j u s t a d o < / s t r i n g > < / k e y > < v a l u e > < i n t > 1 0 4 < / i n t > < / v a l u e > < / i t e m > < i t e m > < k e y > < s t r i n g > Q t e   a j u s t a d a < / s t r i n g > < / k e y > < v a l u e > < i n t > 1 1 4 < / i n t > < / v a l u e > < / i t e m > < i t e m > < k e y > < s t r i n g > P r o d u t i v i d a d e < / s t r i n g > < / k e y > < v a l u e > < i n t > 1 7 8 < / i n t > < / v a l u e > < / i t e m > < / C o l u m n W i d t h s > < C o l u m n D i s p l a y I n d e x > < i t e m > < k e y > < s t r i n g > D e s c r i � � o < / s t r i n g > < / k e y > < v a l u e > < i n t > 0 < / i n t > < / v a l u e > < / i t e m > < i t e m > < k e y > < s t r i n g > T i p o < / s t r i n g > < / k e y > < v a l u e > < i n t > 1 < / i n t > < / v a l u e > < / i t e m > < i t e m > < k e y > < s t r i n g > Q u a n t i d a d e < / s t r i n g > < / k e y > < v a l u e > < i n t > 2 < / i n t > < / v a l u e > < / i t e m > < i t e m > < k e y > < s t r i n g > F r e q u � n c i a   n o   m � s / s e m e s t r e < / s t r i n g > < / k e y > < v a l u e > < i n t > 3 < / i n t > < / v a l u e > < / i t e m > < i t e m > < k e y > < s t r i n g > J o r n a d a   d e   T r a b a l h o   n o   m � s / S e m e s t r e < / s t r i n g > < / k e y > < v a l u e > < i n t > 4 < / i n t > < / v a l u e > < / i t e m > < i t e m > < k e y > < s t r i n g > P r o d u t i v i d a d e   M � n i m a < / s t r i n g > < / k e y > < v a l u e > < i n t > 5 < / i n t > < / v a l u e > < / i t e m > < i t e m > < k e y > < s t r i n g > P r o d u t i v i d a d e   M � x i m a < / s t r i n g > < / k e y > < v a l u e > < i n t > 6 < / i n t > < / v a l u e > < / i t e m > < i t e m > < k e y > < s t r i n g > P r o d u t i v i d a d e   M � d i a < / s t r i n g > < / k e y > < v a l u e > < i n t > 7 < / i n t > < / v a l u e > < / i t e m > < i t e m > < k e y > < s t r i n g > P r o d u t i v i d a d e   P e r s o n a l i z a d a < / s t r i n g > < / k e y > < v a l u e > < i n t > 8 < / i n t > < / v a l u e > < / i t e m > < i t e m > < k e y > < s t r i n g > K i < / s t r i n g > < / k e y > < v a l u e > < i n t > 9 < / i n t > < / v a l u e > < / i t e m > < i t e m > < k e y > < s t r i n g > Q t d e .   S e r v e n t e s < / s t r i n g > < / k e y > < v a l u e > < i n t > 1 0 < / i n t > < / v a l u e > < / i t e m > < i t e m > < k e y > < s t r i n g > K i   a j u s t a d o < / s t r i n g > < / k e y > < v a l u e > < i n t > 1 1 < / i n t > < / v a l u e > < / i t e m > < i t e m > < k e y > < s t r i n g > Q t e   a j u s t a d a < / s t r i n g > < / k e y > < v a l u e > < i n t > 1 2 < / i n t > < / v a l u e > < / i t e m > < i t e m > < k e y > < s t r i n g > P r o d u t i v i d a d e < / s t r i n g > < / k e y > < v a l u e > < i n t > 1 3 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T a b l e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T a b l e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5 8 ] ] > < / C u s t o m C o n t e n t > < / G e m i n i > 
</file>

<file path=customXml/itemProps1.xml><?xml version="1.0" encoding="utf-8"?>
<ds:datastoreItem xmlns:ds="http://schemas.openxmlformats.org/officeDocument/2006/customXml" ds:itemID="{9BACF4D7-AB33-456E-B4D8-64981D96218B}">
  <ds:schemaRefs/>
</ds:datastoreItem>
</file>

<file path=customXml/itemProps10.xml><?xml version="1.0" encoding="utf-8"?>
<ds:datastoreItem xmlns:ds="http://schemas.openxmlformats.org/officeDocument/2006/customXml" ds:itemID="{B16AAB40-06F4-435D-8AEF-E5DD6D81CDCA}">
  <ds:schemaRefs/>
</ds:datastoreItem>
</file>

<file path=customXml/itemProps11.xml><?xml version="1.0" encoding="utf-8"?>
<ds:datastoreItem xmlns:ds="http://schemas.openxmlformats.org/officeDocument/2006/customXml" ds:itemID="{D24CE791-0A0A-4653-9537-015962008E36}">
  <ds:schemaRefs/>
</ds:datastoreItem>
</file>

<file path=customXml/itemProps12.xml><?xml version="1.0" encoding="utf-8"?>
<ds:datastoreItem xmlns:ds="http://schemas.openxmlformats.org/officeDocument/2006/customXml" ds:itemID="{3D0EB289-6ADA-4ABF-954F-CBB24501EBB1}">
  <ds:schemaRefs/>
</ds:datastoreItem>
</file>

<file path=customXml/itemProps13.xml><?xml version="1.0" encoding="utf-8"?>
<ds:datastoreItem xmlns:ds="http://schemas.openxmlformats.org/officeDocument/2006/customXml" ds:itemID="{AF3839CB-EB85-4B93-B2E6-2A84403A12C5}">
  <ds:schemaRefs/>
</ds:datastoreItem>
</file>

<file path=customXml/itemProps14.xml><?xml version="1.0" encoding="utf-8"?>
<ds:datastoreItem xmlns:ds="http://schemas.openxmlformats.org/officeDocument/2006/customXml" ds:itemID="{44A77694-12D2-45C6-BC21-B74C17479B00}">
  <ds:schemaRefs/>
</ds:datastoreItem>
</file>

<file path=customXml/itemProps15.xml><?xml version="1.0" encoding="utf-8"?>
<ds:datastoreItem xmlns:ds="http://schemas.openxmlformats.org/officeDocument/2006/customXml" ds:itemID="{D60EC4F2-A7A0-467F-9B3F-475B4E9FD7CF}">
  <ds:schemaRefs/>
</ds:datastoreItem>
</file>

<file path=customXml/itemProps16.xml><?xml version="1.0" encoding="utf-8"?>
<ds:datastoreItem xmlns:ds="http://schemas.openxmlformats.org/officeDocument/2006/customXml" ds:itemID="{D59F7F65-5792-4AFD-807E-6EF0ED8CC599}">
  <ds:schemaRefs/>
</ds:datastoreItem>
</file>

<file path=customXml/itemProps17.xml><?xml version="1.0" encoding="utf-8"?>
<ds:datastoreItem xmlns:ds="http://schemas.openxmlformats.org/officeDocument/2006/customXml" ds:itemID="{7AF3AD75-BA31-4F4A-984F-395A7399A996}">
  <ds:schemaRefs/>
</ds:datastoreItem>
</file>

<file path=customXml/itemProps2.xml><?xml version="1.0" encoding="utf-8"?>
<ds:datastoreItem xmlns:ds="http://schemas.openxmlformats.org/officeDocument/2006/customXml" ds:itemID="{46933E33-13A0-4B69-B2FA-6AAEDB07CE8E}">
  <ds:schemaRefs/>
</ds:datastoreItem>
</file>

<file path=customXml/itemProps3.xml><?xml version="1.0" encoding="utf-8"?>
<ds:datastoreItem xmlns:ds="http://schemas.openxmlformats.org/officeDocument/2006/customXml" ds:itemID="{3E7DADF5-98D3-409D-B380-09EE56B84F94}">
  <ds:schemaRefs/>
</ds:datastoreItem>
</file>

<file path=customXml/itemProps4.xml><?xml version="1.0" encoding="utf-8"?>
<ds:datastoreItem xmlns:ds="http://schemas.openxmlformats.org/officeDocument/2006/customXml" ds:itemID="{102A8123-E0B1-4E0D-AFB0-8D7CF46718CC}">
  <ds:schemaRefs/>
</ds:datastoreItem>
</file>

<file path=customXml/itemProps5.xml><?xml version="1.0" encoding="utf-8"?>
<ds:datastoreItem xmlns:ds="http://schemas.openxmlformats.org/officeDocument/2006/customXml" ds:itemID="{32804E0E-2ECA-4E83-87CF-BB27BCF3B2F6}">
  <ds:schemaRefs/>
</ds:datastoreItem>
</file>

<file path=customXml/itemProps6.xml><?xml version="1.0" encoding="utf-8"?>
<ds:datastoreItem xmlns:ds="http://schemas.openxmlformats.org/officeDocument/2006/customXml" ds:itemID="{FE54B4C3-285F-47A7-802F-1DF735C12624}">
  <ds:schemaRefs/>
</ds:datastoreItem>
</file>

<file path=customXml/itemProps7.xml><?xml version="1.0" encoding="utf-8"?>
<ds:datastoreItem xmlns:ds="http://schemas.openxmlformats.org/officeDocument/2006/customXml" ds:itemID="{5F29046F-1CBC-4FD4-80CF-724367A55723}">
  <ds:schemaRefs/>
</ds:datastoreItem>
</file>

<file path=customXml/itemProps8.xml><?xml version="1.0" encoding="utf-8"?>
<ds:datastoreItem xmlns:ds="http://schemas.openxmlformats.org/officeDocument/2006/customXml" ds:itemID="{E7DDFF85-C6C0-4AA7-BEBD-C27D20512296}">
  <ds:schemaRefs/>
</ds:datastoreItem>
</file>

<file path=customXml/itemProps9.xml><?xml version="1.0" encoding="utf-8"?>
<ds:datastoreItem xmlns:ds="http://schemas.openxmlformats.org/officeDocument/2006/customXml" ds:itemID="{4221D6DA-6518-4041-9D3B-13E6A4AC98E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Orientações</vt:lpstr>
      <vt:lpstr>Servente</vt:lpstr>
      <vt:lpstr>Custo do Profissional</vt:lpstr>
      <vt:lpstr>Uniformes e Materiais</vt:lpstr>
      <vt:lpstr>Equipamentos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dcterms:created xsi:type="dcterms:W3CDTF">2019-02-19T21:25:00Z</dcterms:created>
  <cp:lastPrinted>2019-03-25T13:36:00Z</cp:lastPrinted>
  <dcterms:modified xsi:type="dcterms:W3CDTF">2020-04-01T13:41:42Z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1046-11.2.0.9232</vt:lpwstr>
  </property>
</Properties>
</file>